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2068" windowHeight="9504"/>
  </bookViews>
  <sheets>
    <sheet name="Ark1" sheetId="1" r:id="rId1"/>
    <sheet name="Ark2" sheetId="2" r:id="rId2"/>
    <sheet name="Ark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I58" i="1"/>
  <c r="E58"/>
  <c r="G55"/>
  <c r="G53"/>
  <c r="I52"/>
  <c r="G52"/>
  <c r="I48"/>
  <c r="E48"/>
  <c r="G45"/>
  <c r="G44"/>
  <c r="G48" s="1"/>
  <c r="G40"/>
  <c r="I39"/>
  <c r="G39"/>
  <c r="I33"/>
  <c r="I35" s="1"/>
  <c r="H33"/>
  <c r="F33"/>
  <c r="E33"/>
  <c r="E35" s="1"/>
  <c r="G32"/>
  <c r="G31"/>
  <c r="G30"/>
  <c r="G29"/>
  <c r="G28"/>
  <c r="G27"/>
  <c r="G26"/>
  <c r="G25"/>
  <c r="G24"/>
  <c r="G23"/>
  <c r="G22"/>
  <c r="G21"/>
  <c r="G20"/>
  <c r="I19"/>
  <c r="G19"/>
  <c r="E19"/>
  <c r="I16"/>
  <c r="H14"/>
  <c r="F14"/>
  <c r="E14"/>
  <c r="E16" s="1"/>
  <c r="G13"/>
  <c r="G12"/>
  <c r="G11"/>
  <c r="G10"/>
  <c r="G9"/>
  <c r="G8"/>
  <c r="G33" s="1"/>
  <c r="G54" s="1"/>
  <c r="C54" s="1"/>
  <c r="G35" l="1"/>
  <c r="G58"/>
  <c r="G14"/>
  <c r="G16" s="1"/>
  <c r="G56"/>
</calcChain>
</file>

<file path=xl/sharedStrings.xml><?xml version="1.0" encoding="utf-8"?>
<sst xmlns="http://schemas.openxmlformats.org/spreadsheetml/2006/main" count="49" uniqueCount="46">
  <si>
    <t>Altevatn hytte- og båteierforening</t>
  </si>
  <si>
    <t>Driftsregnskap:</t>
  </si>
  <si>
    <t>Konto</t>
  </si>
  <si>
    <t>Innntekt:</t>
  </si>
  <si>
    <t>Budsjett 2021</t>
  </si>
  <si>
    <t>Regnskap 2021</t>
  </si>
  <si>
    <t>Regnskap 2020</t>
  </si>
  <si>
    <t>Medlemskontingent …………………………………………………</t>
  </si>
  <si>
    <t>Annonseinntekter hjemmeside - skisporet</t>
  </si>
  <si>
    <t>Delbetaling advokatutg/Diverse ……………………………..</t>
  </si>
  <si>
    <t>Grasrotandel…………………………………………</t>
  </si>
  <si>
    <t>Renteinntekter ……………………………………………………….</t>
  </si>
  <si>
    <t>Tilskudd………………………………………………</t>
  </si>
  <si>
    <t>Underskudd</t>
  </si>
  <si>
    <t>Inntekt i alt</t>
  </si>
  <si>
    <t xml:space="preserve"> </t>
  </si>
  <si>
    <t>Utgift:</t>
  </si>
  <si>
    <t>Godtgjøring til tillitsvalgte…………………….</t>
  </si>
  <si>
    <t>Kjøregodtgjørelse tillitsvalgte……………………….</t>
  </si>
  <si>
    <t>Møteutgifter ………………………………………….</t>
  </si>
  <si>
    <t>Utgifter hjemmeside…………………………………</t>
  </si>
  <si>
    <t>Utgifter skisporet…………………………………….</t>
  </si>
  <si>
    <t>Utgifter løypekjøring………………………………….</t>
  </si>
  <si>
    <t>Advokatutgifter……………………………………….</t>
  </si>
  <si>
    <t>Blomster og gaver…………………………………..</t>
  </si>
  <si>
    <t>Tursti sørsida………………………………………..</t>
  </si>
  <si>
    <t>Investering/anskaffelser</t>
  </si>
  <si>
    <t>Sosialt samvær</t>
  </si>
  <si>
    <t>Bankgebyr……………………………………………………………</t>
  </si>
  <si>
    <t>Annen driftskostnad………………………………………………….</t>
  </si>
  <si>
    <t>Overskudd…………………………………………………………….</t>
  </si>
  <si>
    <t>Utgift i alt</t>
  </si>
  <si>
    <t>Balansekonti</t>
  </si>
  <si>
    <t>Eiendeler</t>
  </si>
  <si>
    <t>Debitorer……………………………………………………………</t>
  </si>
  <si>
    <t>Kassabeholdning………………………………………………….</t>
  </si>
  <si>
    <t>Bankinnskudd:</t>
  </si>
  <si>
    <t>Bank - driftskonto………………………………………………….</t>
  </si>
  <si>
    <t>Bank - depositum adv. Malm/Statskog………………………………………………..</t>
  </si>
  <si>
    <t>Sum eiendeler</t>
  </si>
  <si>
    <t>Gjeld og egenkapital</t>
  </si>
  <si>
    <t>Egenkapital IB…………………………………………………….</t>
  </si>
  <si>
    <t>Kreditorer…………………………………………………………</t>
  </si>
  <si>
    <t>Ny egenkapital UB……………………………………………….</t>
  </si>
  <si>
    <t>Sum gjeld og egenkapital</t>
  </si>
  <si>
    <t>Årsregnskap for tidsrommet   01.01. 2021 -  31.12.2021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</si>
</sst>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 * #,##0.00_ ;_ * \-#,##0.00_ ;_ * &quot;-&quot;??_ ;_ @_ "/>
    <numFmt numFmtId="165" formatCode="#,##0.00_ ;\-#,##0.00\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Avalon"/>
      <family val="2"/>
    </font>
    <font>
      <sz val="9"/>
      <name val="Gloucester MT Extra Condensed"/>
      <family val="1"/>
    </font>
    <font>
      <sz val="9"/>
      <name val="Bernard MT Condensed"/>
      <family val="1"/>
    </font>
    <font>
      <b/>
      <i/>
      <sz val="9"/>
      <name val="Arial"/>
      <family val="2"/>
    </font>
    <font>
      <b/>
      <sz val="9"/>
      <color indexed="10"/>
      <name val="Arial"/>
      <family val="2"/>
    </font>
    <font>
      <sz val="9"/>
      <color rgb="FFFF0000"/>
      <name val="Arial"/>
      <family val="2"/>
    </font>
    <font>
      <b/>
      <sz val="9"/>
      <color theme="3" tint="0.39997558519241921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Border="1" applyAlignment="1">
      <alignment horizontal="center"/>
    </xf>
    <xf numFmtId="4" fontId="3" fillId="2" borderId="0" xfId="0" applyNumberFormat="1" applyFont="1" applyFill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" fontId="6" fillId="0" borderId="0" xfId="0" applyNumberFormat="1" applyFont="1" applyBorder="1"/>
    <xf numFmtId="49" fontId="7" fillId="0" borderId="0" xfId="0" applyNumberFormat="1" applyFont="1" applyBorder="1"/>
    <xf numFmtId="49" fontId="2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/>
    <xf numFmtId="0" fontId="8" fillId="0" borderId="0" xfId="0" applyFont="1" applyBorder="1"/>
    <xf numFmtId="4" fontId="8" fillId="0" borderId="0" xfId="0" applyNumberFormat="1" applyFont="1" applyBorder="1"/>
    <xf numFmtId="0" fontId="9" fillId="0" borderId="0" xfId="0" applyFont="1" applyAlignment="1">
      <alignment horizontal="center"/>
    </xf>
    <xf numFmtId="0" fontId="9" fillId="0" borderId="0" xfId="0" applyFont="1" applyBorder="1"/>
    <xf numFmtId="4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" fontId="2" fillId="2" borderId="0" xfId="1" applyNumberFormat="1" applyFont="1" applyFill="1"/>
    <xf numFmtId="0" fontId="2" fillId="0" borderId="0" xfId="0" applyFont="1"/>
    <xf numFmtId="4" fontId="2" fillId="0" borderId="0" xfId="1" applyNumberFormat="1" applyFont="1" applyBorder="1"/>
    <xf numFmtId="4" fontId="10" fillId="0" borderId="0" xfId="1" applyNumberFormat="1" applyFont="1" applyAlignment="1">
      <alignment horizontal="right"/>
    </xf>
    <xf numFmtId="4" fontId="4" fillId="0" borderId="0" xfId="0" applyNumberFormat="1" applyFont="1" applyBorder="1"/>
    <xf numFmtId="4" fontId="2" fillId="0" borderId="0" xfId="1" applyNumberFormat="1" applyFont="1" applyAlignment="1">
      <alignment horizontal="right"/>
    </xf>
    <xf numFmtId="4" fontId="11" fillId="2" borderId="0" xfId="0" applyNumberFormat="1" applyFont="1" applyFill="1"/>
    <xf numFmtId="0" fontId="3" fillId="0" borderId="1" xfId="0" applyFont="1" applyBorder="1"/>
    <xf numFmtId="4" fontId="3" fillId="0" borderId="1" xfId="0" applyNumberFormat="1" applyFont="1" applyBorder="1"/>
    <xf numFmtId="0" fontId="3" fillId="0" borderId="0" xfId="0" applyFont="1" applyBorder="1"/>
    <xf numFmtId="4" fontId="3" fillId="0" borderId="2" xfId="0" applyNumberFormat="1" applyFont="1" applyBorder="1"/>
    <xf numFmtId="4" fontId="3" fillId="2" borderId="2" xfId="1" applyNumberFormat="1" applyFont="1" applyFill="1" applyBorder="1" applyProtection="1">
      <protection locked="0"/>
    </xf>
    <xf numFmtId="164" fontId="4" fillId="0" borderId="0" xfId="1" applyNumberFormat="1" applyFont="1"/>
    <xf numFmtId="0" fontId="9" fillId="0" borderId="0" xfId="0" applyFont="1" applyBorder="1" applyAlignment="1">
      <alignment horizontal="right"/>
    </xf>
    <xf numFmtId="0" fontId="9" fillId="2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4" fontId="4" fillId="2" borderId="0" xfId="1" applyNumberFormat="1" applyFont="1" applyFill="1"/>
    <xf numFmtId="0" fontId="2" fillId="0" borderId="0" xfId="0" applyFont="1" applyFill="1" applyBorder="1"/>
    <xf numFmtId="4" fontId="4" fillId="2" borderId="0" xfId="1" applyNumberFormat="1" applyFont="1" applyFill="1" applyAlignment="1">
      <alignment horizontal="right"/>
    </xf>
    <xf numFmtId="4" fontId="3" fillId="0" borderId="0" xfId="1" applyNumberFormat="1" applyFont="1" applyAlignment="1">
      <alignment horizontal="right"/>
    </xf>
    <xf numFmtId="4" fontId="12" fillId="0" borderId="0" xfId="1" applyNumberFormat="1" applyFont="1" applyAlignment="1">
      <alignment horizontal="right"/>
    </xf>
    <xf numFmtId="4" fontId="4" fillId="2" borderId="0" xfId="0" applyNumberFormat="1" applyFont="1" applyFill="1"/>
    <xf numFmtId="4" fontId="3" fillId="2" borderId="2" xfId="0" applyNumberFormat="1" applyFont="1" applyFill="1" applyBorder="1"/>
    <xf numFmtId="0" fontId="3" fillId="2" borderId="0" xfId="0" applyFont="1" applyFill="1" applyAlignment="1">
      <alignment horizontal="right"/>
    </xf>
    <xf numFmtId="0" fontId="13" fillId="0" borderId="0" xfId="0" applyFont="1" applyBorder="1"/>
    <xf numFmtId="4" fontId="13" fillId="0" borderId="0" xfId="0" applyNumberFormat="1" applyFont="1" applyBorder="1"/>
    <xf numFmtId="164" fontId="2" fillId="0" borderId="0" xfId="1" applyNumberFormat="1" applyFont="1" applyBorder="1"/>
    <xf numFmtId="4" fontId="2" fillId="2" borderId="0" xfId="1" applyNumberFormat="1" applyFont="1" applyFill="1" applyAlignment="1">
      <alignment horizontal="right"/>
    </xf>
    <xf numFmtId="165" fontId="4" fillId="0" borderId="0" xfId="1" applyNumberFormat="1" applyFont="1"/>
    <xf numFmtId="0" fontId="2" fillId="0" borderId="1" xfId="0" applyFont="1" applyBorder="1"/>
    <xf numFmtId="4" fontId="2" fillId="0" borderId="1" xfId="0" applyNumberFormat="1" applyFont="1" applyBorder="1"/>
    <xf numFmtId="4" fontId="3" fillId="0" borderId="2" xfId="1" applyNumberFormat="1" applyFont="1" applyBorder="1"/>
    <xf numFmtId="164" fontId="3" fillId="0" borderId="0" xfId="1" applyNumberFormat="1" applyFont="1" applyBorder="1"/>
    <xf numFmtId="4" fontId="3" fillId="2" borderId="2" xfId="1" applyNumberFormat="1" applyFont="1" applyFill="1" applyBorder="1"/>
    <xf numFmtId="4" fontId="2" fillId="2" borderId="0" xfId="1" applyNumberFormat="1" applyFont="1" applyFill="1" applyBorder="1" applyAlignment="1">
      <alignment horizontal="right"/>
    </xf>
    <xf numFmtId="4" fontId="12" fillId="0" borderId="3" xfId="1" applyNumberFormat="1" applyFont="1" applyBorder="1" applyAlignment="1">
      <alignment horizontal="right"/>
    </xf>
    <xf numFmtId="164" fontId="4" fillId="2" borderId="0" xfId="1" applyNumberFormat="1" applyFont="1" applyFill="1" applyAlignment="1">
      <alignment horizontal="right"/>
    </xf>
    <xf numFmtId="164" fontId="4" fillId="2" borderId="0" xfId="1" applyNumberFormat="1" applyFont="1" applyFill="1"/>
    <xf numFmtId="4" fontId="3" fillId="0" borderId="0" xfId="1" applyNumberFormat="1" applyFont="1" applyBorder="1"/>
    <xf numFmtId="164" fontId="3" fillId="2" borderId="0" xfId="1" applyNumberFormat="1" applyFont="1" applyFill="1" applyBorder="1"/>
    <xf numFmtId="49" fontId="3" fillId="0" borderId="1" xfId="0" applyNumberFormat="1" applyFont="1" applyBorder="1"/>
    <xf numFmtId="49" fontId="2" fillId="0" borderId="1" xfId="0" applyNumberFormat="1" applyFont="1" applyBorder="1"/>
    <xf numFmtId="4" fontId="3" fillId="0" borderId="2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3" fillId="2" borderId="2" xfId="1" applyNumberFormat="1" applyFont="1" applyFill="1" applyBorder="1" applyAlignment="1">
      <alignment horizontal="right"/>
    </xf>
  </cellXfs>
  <cellStyles count="2">
    <cellStyle name="Normal" xfId="0" builtinId="0"/>
    <cellStyle name="Tusenskill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nskap%20AHB%202021%20med%20budsjet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gnskap"/>
      <sheetName val="Bilag"/>
      <sheetName val="Diverse"/>
      <sheetName val="Ark5"/>
      <sheetName val="Ark7"/>
      <sheetName val="Ark1"/>
    </sheetNames>
    <sheetDataSet>
      <sheetData sheetId="0"/>
      <sheetData sheetId="1">
        <row r="4">
          <cell r="M4" t="str">
            <v>Kontonr.</v>
          </cell>
        </row>
        <row r="5">
          <cell r="K5" t="str">
            <v>Debet</v>
          </cell>
          <cell r="L5" t="str">
            <v>Kredit</v>
          </cell>
        </row>
        <row r="7">
          <cell r="K7">
            <v>44</v>
          </cell>
          <cell r="M7">
            <v>7770</v>
          </cell>
        </row>
        <row r="8">
          <cell r="K8">
            <v>251</v>
          </cell>
          <cell r="M8">
            <v>6860</v>
          </cell>
        </row>
        <row r="9">
          <cell r="L9">
            <v>6583.37</v>
          </cell>
          <cell r="M9">
            <v>3940</v>
          </cell>
        </row>
        <row r="10">
          <cell r="L10">
            <v>9000</v>
          </cell>
          <cell r="M10">
            <v>3110</v>
          </cell>
        </row>
        <row r="11">
          <cell r="L11">
            <v>5100</v>
          </cell>
          <cell r="M11">
            <v>3110</v>
          </cell>
        </row>
        <row r="12">
          <cell r="L12">
            <v>1500</v>
          </cell>
          <cell r="M12">
            <v>3110</v>
          </cell>
        </row>
        <row r="13">
          <cell r="K13">
            <v>278.25</v>
          </cell>
          <cell r="M13">
            <v>7770</v>
          </cell>
        </row>
        <row r="14">
          <cell r="L14">
            <v>9600</v>
          </cell>
          <cell r="M14">
            <v>3110</v>
          </cell>
        </row>
        <row r="15">
          <cell r="K15">
            <v>360</v>
          </cell>
          <cell r="M15">
            <v>6860</v>
          </cell>
        </row>
        <row r="16">
          <cell r="L16">
            <v>20100</v>
          </cell>
          <cell r="M16">
            <v>3110</v>
          </cell>
        </row>
        <row r="17">
          <cell r="L17">
            <v>9600</v>
          </cell>
          <cell r="M17">
            <v>3110</v>
          </cell>
        </row>
        <row r="18">
          <cell r="K18">
            <v>168</v>
          </cell>
          <cell r="M18">
            <v>7770</v>
          </cell>
        </row>
        <row r="19">
          <cell r="K19">
            <v>2.5</v>
          </cell>
          <cell r="M19">
            <v>7770</v>
          </cell>
        </row>
        <row r="20">
          <cell r="L20">
            <v>-10000</v>
          </cell>
          <cell r="M20">
            <v>3995</v>
          </cell>
        </row>
        <row r="21">
          <cell r="K21">
            <v>868.7</v>
          </cell>
          <cell r="M21">
            <v>6860</v>
          </cell>
        </row>
        <row r="22">
          <cell r="K22">
            <v>1859</v>
          </cell>
          <cell r="M22">
            <v>6880</v>
          </cell>
        </row>
        <row r="23">
          <cell r="K23">
            <v>251</v>
          </cell>
          <cell r="M23">
            <v>6860</v>
          </cell>
        </row>
        <row r="24">
          <cell r="K24">
            <v>4849</v>
          </cell>
          <cell r="M24">
            <v>7100</v>
          </cell>
        </row>
        <row r="25">
          <cell r="K25">
            <v>4500</v>
          </cell>
          <cell r="M25">
            <v>6940</v>
          </cell>
        </row>
        <row r="26">
          <cell r="L26">
            <v>1200</v>
          </cell>
          <cell r="M26">
            <v>3110</v>
          </cell>
        </row>
        <row r="27">
          <cell r="L27">
            <v>1900</v>
          </cell>
          <cell r="M27">
            <v>3110</v>
          </cell>
        </row>
        <row r="28">
          <cell r="K28">
            <v>33.25</v>
          </cell>
          <cell r="M28">
            <v>7770</v>
          </cell>
        </row>
        <row r="29">
          <cell r="K29">
            <v>11</v>
          </cell>
          <cell r="M29">
            <v>7770</v>
          </cell>
        </row>
        <row r="30">
          <cell r="L30">
            <v>1200</v>
          </cell>
          <cell r="M30">
            <v>3110</v>
          </cell>
        </row>
        <row r="31">
          <cell r="L31">
            <v>2850</v>
          </cell>
          <cell r="M31">
            <v>3110</v>
          </cell>
        </row>
        <row r="32">
          <cell r="K32">
            <v>49.93</v>
          </cell>
          <cell r="M32">
            <v>7770</v>
          </cell>
        </row>
        <row r="33">
          <cell r="K33">
            <v>13.5</v>
          </cell>
          <cell r="M33">
            <v>7770</v>
          </cell>
        </row>
        <row r="34">
          <cell r="L34">
            <v>1000</v>
          </cell>
          <cell r="M34">
            <v>3900</v>
          </cell>
        </row>
        <row r="35">
          <cell r="L35">
            <v>2000</v>
          </cell>
          <cell r="M35">
            <v>3900</v>
          </cell>
        </row>
        <row r="36">
          <cell r="L36">
            <v>1000</v>
          </cell>
          <cell r="M36">
            <v>3900</v>
          </cell>
        </row>
        <row r="37">
          <cell r="L37">
            <v>7145.97</v>
          </cell>
          <cell r="M37">
            <v>3940</v>
          </cell>
        </row>
        <row r="38">
          <cell r="L38">
            <v>1000</v>
          </cell>
          <cell r="M38">
            <v>3900</v>
          </cell>
        </row>
        <row r="39">
          <cell r="L39">
            <v>196.5</v>
          </cell>
          <cell r="M39">
            <v>3930</v>
          </cell>
        </row>
        <row r="40">
          <cell r="L40">
            <v>4650</v>
          </cell>
          <cell r="M40">
            <v>3110</v>
          </cell>
        </row>
        <row r="41">
          <cell r="K41">
            <v>57.78</v>
          </cell>
          <cell r="M41">
            <v>7770</v>
          </cell>
        </row>
        <row r="45">
          <cell r="K45" t="str">
            <v>Driftskonto</v>
          </cell>
          <cell r="M45" t="str">
            <v>Kontonr.</v>
          </cell>
        </row>
        <row r="46">
          <cell r="K46" t="str">
            <v>Debet</v>
          </cell>
          <cell r="L46" t="str">
            <v>Kredit</v>
          </cell>
        </row>
        <row r="49">
          <cell r="K49">
            <v>288</v>
          </cell>
          <cell r="M49">
            <v>6860</v>
          </cell>
        </row>
        <row r="50">
          <cell r="L50">
            <v>3000</v>
          </cell>
          <cell r="M50">
            <v>3110</v>
          </cell>
        </row>
        <row r="51">
          <cell r="K51">
            <v>13.13</v>
          </cell>
          <cell r="M51">
            <v>7770</v>
          </cell>
        </row>
        <row r="52">
          <cell r="K52">
            <v>2.5</v>
          </cell>
          <cell r="M52">
            <v>7770</v>
          </cell>
        </row>
        <row r="55">
          <cell r="K55">
            <v>228</v>
          </cell>
          <cell r="M55">
            <v>7790</v>
          </cell>
        </row>
        <row r="56">
          <cell r="L56">
            <v>450</v>
          </cell>
          <cell r="M56">
            <v>3110</v>
          </cell>
        </row>
        <row r="57">
          <cell r="K57">
            <v>2.63</v>
          </cell>
          <cell r="M57">
            <v>7770</v>
          </cell>
        </row>
        <row r="58">
          <cell r="K58">
            <v>-221.06</v>
          </cell>
          <cell r="M58">
            <v>7420</v>
          </cell>
        </row>
        <row r="60">
          <cell r="K60">
            <v>8</v>
          </cell>
          <cell r="M60">
            <v>7770</v>
          </cell>
        </row>
        <row r="62">
          <cell r="K62">
            <v>49.9</v>
          </cell>
          <cell r="M62">
            <v>7790</v>
          </cell>
        </row>
        <row r="63">
          <cell r="K63">
            <v>300.89999999999998</v>
          </cell>
          <cell r="M63">
            <v>7430</v>
          </cell>
        </row>
        <row r="64">
          <cell r="K64">
            <v>1114</v>
          </cell>
          <cell r="M64">
            <v>7790</v>
          </cell>
        </row>
        <row r="65">
          <cell r="L65">
            <v>300</v>
          </cell>
          <cell r="M65">
            <v>3110</v>
          </cell>
        </row>
        <row r="66">
          <cell r="K66">
            <v>-98.25</v>
          </cell>
          <cell r="M66">
            <v>7420</v>
          </cell>
        </row>
        <row r="68">
          <cell r="K68">
            <v>22</v>
          </cell>
          <cell r="M68">
            <v>7770</v>
          </cell>
        </row>
        <row r="69">
          <cell r="L69">
            <v>150</v>
          </cell>
          <cell r="M69">
            <v>3110</v>
          </cell>
        </row>
        <row r="70">
          <cell r="L70">
            <v>9232.18</v>
          </cell>
          <cell r="M70">
            <v>3940</v>
          </cell>
        </row>
        <row r="72">
          <cell r="L72">
            <v>2000</v>
          </cell>
          <cell r="M72">
            <v>3900</v>
          </cell>
        </row>
        <row r="73">
          <cell r="L73">
            <v>2000</v>
          </cell>
          <cell r="M73">
            <v>3900</v>
          </cell>
        </row>
        <row r="74">
          <cell r="K74">
            <v>2535</v>
          </cell>
          <cell r="M74">
            <v>6880</v>
          </cell>
        </row>
        <row r="78">
          <cell r="K78">
            <v>11</v>
          </cell>
          <cell r="M78">
            <v>7770</v>
          </cell>
        </row>
        <row r="79">
          <cell r="L79">
            <v>1000</v>
          </cell>
          <cell r="M79">
            <v>3900</v>
          </cell>
        </row>
        <row r="80">
          <cell r="L80">
            <v>1000</v>
          </cell>
          <cell r="M80">
            <v>3900</v>
          </cell>
        </row>
        <row r="81">
          <cell r="K81">
            <v>43043</v>
          </cell>
          <cell r="M81">
            <v>7100</v>
          </cell>
        </row>
        <row r="82">
          <cell r="K82">
            <v>395</v>
          </cell>
          <cell r="M82">
            <v>7140</v>
          </cell>
        </row>
        <row r="83">
          <cell r="K83">
            <v>499</v>
          </cell>
          <cell r="M83">
            <v>7790</v>
          </cell>
        </row>
        <row r="88">
          <cell r="K88" t="str">
            <v>Driftskonto</v>
          </cell>
          <cell r="M88" t="str">
            <v>Kontonr.</v>
          </cell>
        </row>
        <row r="89">
          <cell r="K89" t="str">
            <v>Debet</v>
          </cell>
          <cell r="L89" t="str">
            <v>Kredit</v>
          </cell>
        </row>
        <row r="90">
          <cell r="K90">
            <v>3232</v>
          </cell>
          <cell r="M90">
            <v>6800</v>
          </cell>
        </row>
        <row r="92">
          <cell r="K92">
            <v>17000</v>
          </cell>
          <cell r="M92">
            <v>5330</v>
          </cell>
        </row>
        <row r="93">
          <cell r="L93">
            <v>300</v>
          </cell>
          <cell r="M93">
            <v>3110</v>
          </cell>
        </row>
        <row r="94">
          <cell r="K94">
            <v>5.25</v>
          </cell>
          <cell r="M94">
            <v>7770</v>
          </cell>
        </row>
        <row r="130">
          <cell r="K130" t="str">
            <v>Driftskonto</v>
          </cell>
          <cell r="M130" t="str">
            <v>Kontonr.</v>
          </cell>
        </row>
        <row r="131">
          <cell r="K131" t="str">
            <v>Debet</v>
          </cell>
          <cell r="L131" t="str">
            <v>Kredit</v>
          </cell>
        </row>
        <row r="163">
          <cell r="K163">
            <v>82026.91</v>
          </cell>
        </row>
        <row r="165">
          <cell r="E165">
            <v>0</v>
          </cell>
          <cell r="G165">
            <v>127427.32000000002</v>
          </cell>
          <cell r="I165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59"/>
  <sheetViews>
    <sheetView tabSelected="1" workbookViewId="0">
      <selection sqref="A1:XFD1048576"/>
    </sheetView>
  </sheetViews>
  <sheetFormatPr baseColWidth="10" defaultRowHeight="12"/>
  <cols>
    <col min="1" max="1" width="0.44140625" style="3" customWidth="1"/>
    <col min="2" max="5" width="11.5546875" style="3"/>
    <col min="6" max="6" width="4.6640625" style="3" customWidth="1"/>
    <col min="7" max="16384" width="11.5546875" style="3"/>
  </cols>
  <sheetData>
    <row r="1" spans="2:9">
      <c r="B1" s="4"/>
      <c r="E1" s="5"/>
      <c r="F1" s="6"/>
      <c r="H1" s="6"/>
    </row>
    <row r="2" spans="2:9">
      <c r="B2" s="7"/>
      <c r="C2" s="8" t="s">
        <v>0</v>
      </c>
      <c r="D2" s="8"/>
      <c r="E2" s="9"/>
      <c r="F2" s="10"/>
      <c r="G2" s="8"/>
      <c r="H2" s="6"/>
    </row>
    <row r="3" spans="2:9">
      <c r="B3" s="11"/>
      <c r="C3" s="12"/>
      <c r="D3" s="12"/>
      <c r="E3" s="13"/>
      <c r="F3" s="12"/>
      <c r="G3" s="6"/>
      <c r="H3" s="6"/>
    </row>
    <row r="4" spans="2:9">
      <c r="B4" s="4"/>
      <c r="C4" s="14" t="s">
        <v>45</v>
      </c>
      <c r="D4" s="15"/>
      <c r="E4" s="16"/>
      <c r="F4" s="15"/>
      <c r="G4" s="15"/>
      <c r="H4" s="15"/>
    </row>
    <row r="5" spans="2:9">
      <c r="B5" s="4"/>
      <c r="C5" s="17"/>
      <c r="D5" s="18"/>
      <c r="E5" s="19"/>
      <c r="F5" s="17"/>
      <c r="G5" s="17"/>
      <c r="H5" s="17"/>
    </row>
    <row r="6" spans="2:9">
      <c r="B6" s="4"/>
      <c r="C6" s="10" t="s">
        <v>1</v>
      </c>
      <c r="D6" s="17"/>
      <c r="E6" s="16"/>
      <c r="F6" s="17"/>
      <c r="H6" s="6"/>
    </row>
    <row r="7" spans="2:9">
      <c r="B7" s="20" t="s">
        <v>2</v>
      </c>
      <c r="C7" s="21" t="s">
        <v>3</v>
      </c>
      <c r="D7" s="17"/>
      <c r="E7" s="22" t="s">
        <v>4</v>
      </c>
      <c r="F7" s="17"/>
      <c r="G7" s="23" t="s">
        <v>5</v>
      </c>
      <c r="H7" s="24"/>
      <c r="I7" s="23" t="s">
        <v>6</v>
      </c>
    </row>
    <row r="8" spans="2:9">
      <c r="B8" s="4">
        <v>3110</v>
      </c>
      <c r="C8" s="25" t="s">
        <v>7</v>
      </c>
      <c r="D8" s="17"/>
      <c r="E8" s="26">
        <v>70000</v>
      </c>
      <c r="F8" s="17"/>
      <c r="G8" s="16">
        <f>SUMIF([1]Bilag!$M$1:$M$159,3110,[1]Bilag!$L$1:$L$159)</f>
        <v>70900</v>
      </c>
      <c r="H8" s="16"/>
      <c r="I8" s="16">
        <v>66352.12</v>
      </c>
    </row>
    <row r="9" spans="2:9">
      <c r="B9" s="4">
        <v>3900</v>
      </c>
      <c r="C9" s="17" t="s">
        <v>8</v>
      </c>
      <c r="D9" s="17"/>
      <c r="E9" s="26">
        <v>10000</v>
      </c>
      <c r="F9" s="17"/>
      <c r="G9" s="16">
        <f>SUMIF([1]Bilag!$M$1:$M$159,3900,[1]Bilag!$L$1:$L$159)</f>
        <v>11000</v>
      </c>
      <c r="H9" s="16"/>
      <c r="I9" s="16">
        <v>9000</v>
      </c>
    </row>
    <row r="10" spans="2:9">
      <c r="B10" s="4">
        <v>3930</v>
      </c>
      <c r="C10" s="17" t="s">
        <v>9</v>
      </c>
      <c r="D10" s="17"/>
      <c r="E10" s="26"/>
      <c r="F10" s="17"/>
      <c r="G10" s="16">
        <f>SUMIF([1]Bilag!$M$1:$M$159,3930,[1]Bilag!$L$1:$L$159)</f>
        <v>196.5</v>
      </c>
      <c r="H10" s="16"/>
      <c r="I10" s="16">
        <v>0</v>
      </c>
    </row>
    <row r="11" spans="2:9">
      <c r="B11" s="4">
        <v>3940</v>
      </c>
      <c r="C11" s="17" t="s">
        <v>10</v>
      </c>
      <c r="D11" s="17"/>
      <c r="E11" s="26">
        <v>26000</v>
      </c>
      <c r="F11" s="17"/>
      <c r="G11" s="16">
        <f>SUMIF([1]Bilag!$M$1:$M$159,3940,[1]Bilag!$L$1:$L$159)</f>
        <v>22961.52</v>
      </c>
      <c r="H11" s="16"/>
      <c r="I11" s="16">
        <v>20332.55</v>
      </c>
    </row>
    <row r="12" spans="2:9">
      <c r="B12" s="4">
        <v>3990</v>
      </c>
      <c r="C12" s="27" t="s">
        <v>11</v>
      </c>
      <c r="E12" s="26">
        <v>70</v>
      </c>
      <c r="F12" s="6"/>
      <c r="G12" s="16">
        <f>SUMIF([1]Bilag!$M$1:$M$159,3990,[1]Bilag!$L$1:$L$159)</f>
        <v>0</v>
      </c>
      <c r="H12" s="28"/>
      <c r="I12" s="16">
        <v>62.19</v>
      </c>
    </row>
    <row r="13" spans="2:9">
      <c r="B13" s="4">
        <v>3995</v>
      </c>
      <c r="C13" s="17" t="s">
        <v>12</v>
      </c>
      <c r="D13" s="17"/>
      <c r="E13" s="26"/>
      <c r="F13" s="17"/>
      <c r="G13" s="16">
        <f>SUMIF([1]Bilag!$M$1:$M$159,3995,[1]Bilag!$L$1:$L$159)</f>
        <v>-10000</v>
      </c>
      <c r="H13" s="16"/>
      <c r="I13" s="16">
        <v>10000</v>
      </c>
    </row>
    <row r="14" spans="2:9">
      <c r="B14" s="4">
        <v>8800</v>
      </c>
      <c r="C14" s="16" t="s">
        <v>13</v>
      </c>
      <c r="D14" s="6"/>
      <c r="E14" s="29">
        <f>IF(SUM(E20:E32)&gt;SUM(E8:E13),SUM(E20:E32)-SUM(E8:E13),0)</f>
        <v>0</v>
      </c>
      <c r="F14" s="29">
        <f>IF(SUM(F20:F32)&gt;SUM(F8:F13),SUM(F20:F32)-SUM(F8:F13),0)</f>
        <v>0</v>
      </c>
      <c r="G14" s="29">
        <f>IF(SUM(G20:G32)&gt;SUM(G8:G13),SUM(G20:G32)-SUM(G8:G13),0)</f>
        <v>0</v>
      </c>
      <c r="H14" s="29">
        <f>IF(SUM(H20:H32)&gt;SUM(H8:H13),SUM(H20:H32)-SUM(H8:H13),0)</f>
        <v>0</v>
      </c>
      <c r="I14" s="29">
        <v>0</v>
      </c>
    </row>
    <row r="15" spans="2:9">
      <c r="B15" s="4"/>
      <c r="C15" s="16"/>
      <c r="D15" s="6"/>
      <c r="E15" s="30"/>
      <c r="F15" s="6"/>
      <c r="G15" s="31"/>
      <c r="H15" s="28"/>
      <c r="I15" s="32"/>
    </row>
    <row r="16" spans="2:9" ht="12.6" thickBot="1">
      <c r="B16" s="4"/>
      <c r="C16" s="33" t="s">
        <v>14</v>
      </c>
      <c r="D16" s="33"/>
      <c r="E16" s="34">
        <f>SUM(E8:E15)</f>
        <v>106070</v>
      </c>
      <c r="F16" s="35"/>
      <c r="G16" s="36">
        <f>SUM(G8:G14)</f>
        <v>95058.02</v>
      </c>
      <c r="H16" s="22"/>
      <c r="I16" s="37">
        <f>SUM(I8:I15)</f>
        <v>105746.86</v>
      </c>
    </row>
    <row r="17" spans="2:9" ht="12.6" thickTop="1">
      <c r="B17" s="4"/>
      <c r="C17" s="17" t="s">
        <v>15</v>
      </c>
      <c r="D17" s="17"/>
      <c r="E17" s="16"/>
      <c r="F17" s="17"/>
      <c r="G17" s="16"/>
      <c r="H17" s="16"/>
      <c r="I17" s="38"/>
    </row>
    <row r="18" spans="2:9">
      <c r="B18" s="4"/>
      <c r="C18" s="17"/>
      <c r="D18" s="17"/>
      <c r="E18" s="16"/>
      <c r="F18" s="17"/>
      <c r="G18" s="16"/>
      <c r="H18" s="16"/>
      <c r="I18" s="38"/>
    </row>
    <row r="19" spans="2:9">
      <c r="B19" s="20" t="s">
        <v>2</v>
      </c>
      <c r="C19" s="21" t="s">
        <v>16</v>
      </c>
      <c r="D19" s="17"/>
      <c r="E19" s="22" t="str">
        <f>+E7</f>
        <v>Budsjett 2021</v>
      </c>
      <c r="F19" s="17"/>
      <c r="G19" s="39" t="str">
        <f>+G7</f>
        <v>Regnskap 2021</v>
      </c>
      <c r="H19" s="39"/>
      <c r="I19" s="40" t="str">
        <f>+I7</f>
        <v>Regnskap 2020</v>
      </c>
    </row>
    <row r="20" spans="2:9">
      <c r="B20" s="41">
        <v>5330</v>
      </c>
      <c r="C20" s="10" t="s">
        <v>17</v>
      </c>
      <c r="D20" s="17"/>
      <c r="E20" s="42">
        <v>17000</v>
      </c>
      <c r="F20" s="17"/>
      <c r="G20" s="16">
        <f>SUMIF([1]Bilag!$M$1:$M$163,"5330",[1]Bilag!$K$1:$K$163)</f>
        <v>17000</v>
      </c>
      <c r="H20" s="16"/>
      <c r="I20" s="16">
        <v>17000</v>
      </c>
    </row>
    <row r="21" spans="2:9">
      <c r="B21" s="4">
        <v>6800</v>
      </c>
      <c r="C21" s="43" t="s">
        <v>18</v>
      </c>
      <c r="D21" s="17"/>
      <c r="E21" s="42">
        <v>10000</v>
      </c>
      <c r="F21" s="17"/>
      <c r="G21" s="16">
        <f>SUMIF([1]Bilag!$M$1:$M$163,6800,[1]Bilag!$K$1:$K$163)</f>
        <v>3232</v>
      </c>
      <c r="H21" s="16"/>
      <c r="I21" s="16">
        <v>9656.5</v>
      </c>
    </row>
    <row r="22" spans="2:9">
      <c r="B22" s="4">
        <v>6860</v>
      </c>
      <c r="C22" s="43" t="s">
        <v>19</v>
      </c>
      <c r="D22" s="17"/>
      <c r="E22" s="44">
        <v>2000</v>
      </c>
      <c r="F22" s="17"/>
      <c r="G22" s="16">
        <f>SUMIF([1]Bilag!$M$1:$M$163,"6860",[1]Bilag!$K$1:$K$163)</f>
        <v>2018.7</v>
      </c>
      <c r="H22" s="16"/>
      <c r="I22" s="16">
        <v>1210.5999999999999</v>
      </c>
    </row>
    <row r="23" spans="2:9">
      <c r="B23" s="4">
        <v>6880</v>
      </c>
      <c r="C23" s="43" t="s">
        <v>20</v>
      </c>
      <c r="D23" s="17"/>
      <c r="E23" s="44">
        <v>4200</v>
      </c>
      <c r="F23" s="17"/>
      <c r="G23" s="16">
        <f>SUMIF([1]Bilag!$M$1:$M$159,6880,[1]Bilag!$K$1:$K$159)-SUMIF([1]Bilag!$M$1:$M$159,6910,[1]Bilag!$L$1:$L$159)</f>
        <v>4394</v>
      </c>
      <c r="H23" s="16"/>
      <c r="I23" s="16">
        <v>5133.8</v>
      </c>
    </row>
    <row r="24" spans="2:9">
      <c r="B24" s="4">
        <v>6940</v>
      </c>
      <c r="C24" s="17" t="s">
        <v>21</v>
      </c>
      <c r="D24" s="17"/>
      <c r="E24" s="44">
        <v>4500</v>
      </c>
      <c r="F24" s="17"/>
      <c r="G24" s="16">
        <f>SUMIF([1]Bilag!$M$1:$M$163,"6940",[1]Bilag!$K$1:$K$163)</f>
        <v>4500</v>
      </c>
      <c r="H24" s="16"/>
      <c r="I24" s="16">
        <v>4500</v>
      </c>
    </row>
    <row r="25" spans="2:9">
      <c r="B25" s="4">
        <v>6990</v>
      </c>
      <c r="C25" s="43" t="s">
        <v>22</v>
      </c>
      <c r="D25" s="17"/>
      <c r="E25" s="42">
        <v>5000</v>
      </c>
      <c r="F25" s="17"/>
      <c r="G25" s="16">
        <f>SUMIF([1]Bilag!$M$1:$M$163,"6990",[1]Bilag!$K$1:$K$163)</f>
        <v>0</v>
      </c>
      <c r="H25" s="16"/>
      <c r="I25" s="16">
        <v>0</v>
      </c>
    </row>
    <row r="26" spans="2:9">
      <c r="B26" s="4">
        <v>7100</v>
      </c>
      <c r="C26" s="43" t="s">
        <v>23</v>
      </c>
      <c r="D26" s="17"/>
      <c r="E26" s="42">
        <v>30000</v>
      </c>
      <c r="F26" s="17"/>
      <c r="G26" s="16">
        <f>SUMIF([1]Bilag!$M$1:$M$159,7100,[1]Bilag!$K$1:$K$159)-SUMIF([1]Bilag!$M$1:$M$159,7165,[1]Bilag!$L$1:$L$159)</f>
        <v>47892</v>
      </c>
      <c r="H26" s="16"/>
      <c r="I26" s="16">
        <v>16216.06</v>
      </c>
    </row>
    <row r="27" spans="2:9">
      <c r="B27" s="4">
        <v>7140</v>
      </c>
      <c r="C27" s="43" t="s">
        <v>24</v>
      </c>
      <c r="D27" s="17"/>
      <c r="E27" s="42">
        <v>1500</v>
      </c>
      <c r="F27" s="17"/>
      <c r="G27" s="16">
        <f>SUMIF([1]Bilag!$M$1:$M$159,7140,[1]Bilag!$K$1:$K$159)-SUMIF([1]Bilag!$M$1:$M$159,7140,[1]Bilag!$L$1:$L$159)</f>
        <v>395</v>
      </c>
      <c r="H27" s="16"/>
      <c r="I27" s="16">
        <v>220</v>
      </c>
    </row>
    <row r="28" spans="2:9">
      <c r="B28" s="4">
        <v>7400</v>
      </c>
      <c r="C28" s="43" t="s">
        <v>25</v>
      </c>
      <c r="D28" s="17"/>
      <c r="E28" s="44">
        <v>0</v>
      </c>
      <c r="F28" s="17"/>
      <c r="G28" s="16">
        <f>SUMIF([1]Bilag!$M$1:$M$159,"7400",[1]Bilag!$K$1:$K$159)-SUMIF([1]Bilag!$M$1:$M$159,"7400",[1]Bilag!$L$1:$L$159)</f>
        <v>0</v>
      </c>
      <c r="H28" s="16"/>
      <c r="I28" s="16">
        <v>2650</v>
      </c>
    </row>
    <row r="29" spans="2:9">
      <c r="B29" s="4">
        <v>7420</v>
      </c>
      <c r="C29" s="43" t="s">
        <v>26</v>
      </c>
      <c r="D29" s="17"/>
      <c r="E29" s="44">
        <v>0</v>
      </c>
      <c r="F29" s="17"/>
      <c r="G29" s="16">
        <f>SUMIF([1]Bilag!$M$1:$M$163,"7420",[1]Bilag!$K$1:$K$163)</f>
        <v>-319.31</v>
      </c>
      <c r="H29" s="16"/>
      <c r="I29" s="16">
        <v>8600</v>
      </c>
    </row>
    <row r="30" spans="2:9">
      <c r="B30" s="4">
        <v>7430</v>
      </c>
      <c r="C30" s="43" t="s">
        <v>27</v>
      </c>
      <c r="D30" s="17"/>
      <c r="E30" s="42">
        <v>5000</v>
      </c>
      <c r="F30" s="17"/>
      <c r="G30" s="16">
        <f>SUMIF([1]Bilag!$M$1:$M$163,"7430",[1]Bilag!$K$1:$K$163)</f>
        <v>300.89999999999998</v>
      </c>
      <c r="H30" s="16"/>
      <c r="I30" s="16">
        <v>0</v>
      </c>
    </row>
    <row r="31" spans="2:9">
      <c r="B31" s="4">
        <v>7770</v>
      </c>
      <c r="C31" s="17" t="s">
        <v>28</v>
      </c>
      <c r="D31" s="17"/>
      <c r="E31" s="42">
        <v>600</v>
      </c>
      <c r="F31" s="17"/>
      <c r="G31" s="16">
        <f>SUMIF([1]Bilag!$M$1:$M$163,7770,[1]Bilag!$K$1:$K$163)</f>
        <v>722.71999999999991</v>
      </c>
      <c r="H31" s="16"/>
      <c r="I31" s="16">
        <v>158.80000000000001</v>
      </c>
    </row>
    <row r="32" spans="2:9">
      <c r="B32" s="4">
        <v>7790</v>
      </c>
      <c r="C32" s="43" t="s">
        <v>29</v>
      </c>
      <c r="D32" s="17"/>
      <c r="E32" s="42">
        <v>4000</v>
      </c>
      <c r="F32" s="17"/>
      <c r="G32" s="16">
        <f>SUMIF([1]Bilag!$M$1:$M$163,7790,[1]Bilag!$K$1:$K$163)</f>
        <v>1890.9</v>
      </c>
      <c r="H32" s="16"/>
      <c r="I32" s="16">
        <v>3454.64</v>
      </c>
    </row>
    <row r="33" spans="2:9">
      <c r="B33" s="4">
        <v>8800</v>
      </c>
      <c r="C33" s="43" t="s">
        <v>30</v>
      </c>
      <c r="D33" s="17"/>
      <c r="E33" s="45">
        <f>IF(SUM(E8:E13)&gt;SUM(E20:E32),SUM(E8:E13)-SUM(E20:E32),0)</f>
        <v>22270</v>
      </c>
      <c r="F33" s="45">
        <f>IF(SUM(F8:F13)&gt;SUM(F20:F32),SUM(F8:F13)-SUM(F20:F32),0)</f>
        <v>0</v>
      </c>
      <c r="G33" s="46">
        <f>IF(SUM(G8:G13)&gt;SUM(G20:G32),SUM(G8:G13)-SUM(G20:G32),0)</f>
        <v>13031.110000000015</v>
      </c>
      <c r="H33" s="45">
        <f>IF(SUM(H8:H13)&gt;SUM(H20:H32),SUM(H8:H13)-SUM(H20:H32),0)</f>
        <v>0</v>
      </c>
      <c r="I33" s="46">
        <f>IF(SUM(I8:I13)&gt;SUM(I20:I32),SUM(I8:I13)-SUM(I20:I32),0)</f>
        <v>36946.459999999992</v>
      </c>
    </row>
    <row r="34" spans="2:9">
      <c r="B34" s="4"/>
      <c r="E34" s="5"/>
      <c r="F34" s="6"/>
      <c r="G34" s="5"/>
      <c r="H34" s="6"/>
      <c r="I34" s="47"/>
    </row>
    <row r="35" spans="2:9" ht="12.6" thickBot="1">
      <c r="B35" s="4"/>
      <c r="C35" s="33" t="s">
        <v>31</v>
      </c>
      <c r="D35" s="33"/>
      <c r="E35" s="34">
        <f>SUM(E20:E34)</f>
        <v>106070</v>
      </c>
      <c r="F35" s="35"/>
      <c r="G35" s="36">
        <f>SUM(G20:G33)</f>
        <v>95058.02</v>
      </c>
      <c r="H35" s="22"/>
      <c r="I35" s="48">
        <f>SUM(I20:I33)</f>
        <v>105746.86</v>
      </c>
    </row>
    <row r="36" spans="2:9" ht="12.6" thickTop="1">
      <c r="B36" s="4"/>
      <c r="C36" s="17"/>
      <c r="D36" s="17"/>
      <c r="E36" s="16"/>
      <c r="F36" s="17"/>
      <c r="G36" s="16"/>
      <c r="H36" s="16"/>
      <c r="I36" s="38"/>
    </row>
    <row r="37" spans="2:9">
      <c r="B37" s="4"/>
      <c r="C37" s="17"/>
      <c r="D37" s="17"/>
      <c r="E37" s="16"/>
      <c r="F37" s="17"/>
      <c r="G37" s="16"/>
      <c r="H37" s="16"/>
      <c r="I37" s="38"/>
    </row>
    <row r="38" spans="2:9">
      <c r="B38" s="4"/>
      <c r="C38" s="10" t="s">
        <v>32</v>
      </c>
      <c r="D38" s="17"/>
      <c r="E38" s="16"/>
      <c r="F38" s="17"/>
      <c r="G38" s="16"/>
      <c r="H38" s="16"/>
      <c r="I38" s="38"/>
    </row>
    <row r="39" spans="2:9">
      <c r="B39" s="20" t="s">
        <v>2</v>
      </c>
      <c r="C39" s="35" t="s">
        <v>33</v>
      </c>
      <c r="D39" s="17"/>
      <c r="E39" s="16"/>
      <c r="F39" s="17"/>
      <c r="G39" s="39" t="str">
        <f>+G7</f>
        <v>Regnskap 2021</v>
      </c>
      <c r="H39" s="24"/>
      <c r="I39" s="49" t="str">
        <f>+I7</f>
        <v>Regnskap 2020</v>
      </c>
    </row>
    <row r="40" spans="2:9">
      <c r="B40" s="41">
        <v>1810</v>
      </c>
      <c r="C40" s="50" t="s">
        <v>34</v>
      </c>
      <c r="D40" s="50"/>
      <c r="E40" s="51">
        <v>0</v>
      </c>
      <c r="F40" s="50"/>
      <c r="G40" s="16">
        <f>SUM([1]Bilag!E164)</f>
        <v>0</v>
      </c>
      <c r="H40" s="1"/>
      <c r="I40" s="2"/>
    </row>
    <row r="41" spans="2:9">
      <c r="B41" s="4">
        <v>1910</v>
      </c>
      <c r="C41" s="17" t="s">
        <v>35</v>
      </c>
      <c r="D41" s="17"/>
      <c r="E41" s="16">
        <v>0</v>
      </c>
      <c r="F41" s="17"/>
      <c r="G41" s="16"/>
      <c r="H41" s="16"/>
      <c r="I41" s="44"/>
    </row>
    <row r="42" spans="2:9">
      <c r="B42" s="4"/>
      <c r="C42" s="17"/>
      <c r="D42" s="17"/>
      <c r="E42" s="16"/>
      <c r="F42" s="17"/>
      <c r="G42" s="16"/>
      <c r="H42" s="16"/>
      <c r="I42" s="42"/>
    </row>
    <row r="43" spans="2:9">
      <c r="B43" s="4"/>
      <c r="C43" s="21" t="s">
        <v>36</v>
      </c>
      <c r="D43" s="17"/>
      <c r="E43" s="16"/>
      <c r="F43" s="17"/>
      <c r="G43" s="16"/>
      <c r="H43" s="16"/>
      <c r="I43" s="42"/>
    </row>
    <row r="44" spans="2:9">
      <c r="B44" s="4">
        <v>1920</v>
      </c>
      <c r="C44" s="17" t="s">
        <v>37</v>
      </c>
      <c r="D44" s="17"/>
      <c r="E44" s="16"/>
      <c r="F44" s="17"/>
      <c r="G44" s="28">
        <f>SUM([1]Bilag!G165)</f>
        <v>127427.32000000002</v>
      </c>
      <c r="H44" s="52"/>
      <c r="I44" s="53">
        <v>114300.01</v>
      </c>
    </row>
    <row r="45" spans="2:9">
      <c r="B45" s="4">
        <v>1930</v>
      </c>
      <c r="C45" s="17" t="s">
        <v>38</v>
      </c>
      <c r="D45" s="17"/>
      <c r="E45" s="16"/>
      <c r="F45" s="17"/>
      <c r="G45" s="28">
        <f>SUM([1]Bilag!I165)</f>
        <v>0</v>
      </c>
      <c r="H45" s="54"/>
      <c r="I45" s="42">
        <v>165096.20000000001</v>
      </c>
    </row>
    <row r="46" spans="2:9">
      <c r="B46" s="4"/>
      <c r="C46" s="17"/>
      <c r="D46" s="17"/>
      <c r="E46" s="16"/>
      <c r="F46" s="17"/>
      <c r="G46" s="28"/>
      <c r="H46" s="52"/>
      <c r="I46" s="42"/>
    </row>
    <row r="47" spans="2:9">
      <c r="B47" s="4"/>
      <c r="C47" s="17"/>
      <c r="D47" s="17"/>
      <c r="E47" s="16"/>
      <c r="F47" s="17"/>
      <c r="G47" s="28"/>
      <c r="H47" s="52"/>
      <c r="I47" s="42"/>
    </row>
    <row r="48" spans="2:9" ht="12.6" thickBot="1">
      <c r="B48" s="4"/>
      <c r="C48" s="33" t="s">
        <v>39</v>
      </c>
      <c r="D48" s="55"/>
      <c r="E48" s="56">
        <f>SUM(E44:E47)</f>
        <v>0</v>
      </c>
      <c r="F48" s="17"/>
      <c r="G48" s="57">
        <f>SUM(G41:G46)</f>
        <v>127427.32000000002</v>
      </c>
      <c r="H48" s="58"/>
      <c r="I48" s="59">
        <f>SUM(I40:I46)</f>
        <v>279396.21000000002</v>
      </c>
    </row>
    <row r="49" spans="2:9" ht="12.6" thickTop="1">
      <c r="B49" s="11"/>
      <c r="C49" s="17"/>
      <c r="D49" s="17"/>
      <c r="E49" s="16"/>
      <c r="F49" s="17"/>
      <c r="G49" s="52"/>
      <c r="H49" s="52"/>
      <c r="I49" s="38"/>
    </row>
    <row r="50" spans="2:9">
      <c r="B50" s="11"/>
      <c r="C50" s="17"/>
      <c r="D50" s="17"/>
      <c r="E50" s="16"/>
      <c r="F50" s="17"/>
      <c r="G50" s="17"/>
      <c r="H50" s="17"/>
      <c r="I50" s="38"/>
    </row>
    <row r="51" spans="2:9">
      <c r="B51" s="20" t="s">
        <v>2</v>
      </c>
      <c r="C51" s="35" t="s">
        <v>40</v>
      </c>
      <c r="D51" s="17"/>
      <c r="E51" s="16"/>
      <c r="F51" s="17"/>
      <c r="G51" s="16"/>
      <c r="H51" s="16"/>
      <c r="I51" s="38"/>
    </row>
    <row r="52" spans="2:9">
      <c r="B52" s="20"/>
      <c r="C52" s="21"/>
      <c r="D52" s="17"/>
      <c r="E52" s="16"/>
      <c r="F52" s="17"/>
      <c r="G52" s="39" t="str">
        <f>+G7</f>
        <v>Regnskap 2021</v>
      </c>
      <c r="H52" s="24"/>
      <c r="I52" s="40" t="str">
        <f>+I7</f>
        <v>Regnskap 2020</v>
      </c>
    </row>
    <row r="53" spans="2:9">
      <c r="B53" s="4">
        <v>2050</v>
      </c>
      <c r="C53" s="17" t="s">
        <v>41</v>
      </c>
      <c r="D53" s="17"/>
      <c r="E53" s="16"/>
      <c r="F53" s="17"/>
      <c r="G53" s="28">
        <f>+I56</f>
        <v>114396.21</v>
      </c>
      <c r="H53" s="52"/>
      <c r="I53" s="60">
        <v>77449.75</v>
      </c>
    </row>
    <row r="54" spans="2:9">
      <c r="B54" s="4"/>
      <c r="C54" s="17" t="str">
        <f>IF(G54&lt;0, " - årets resultat……………………………………...……….","+ årets resultat………………………………………………..")</f>
        <v>+ årets resultat………………………………………………..</v>
      </c>
      <c r="D54" s="17"/>
      <c r="E54" s="16"/>
      <c r="F54" s="17"/>
      <c r="G54" s="61">
        <f>IF(G33&lt;&gt;0,G33,-G14)</f>
        <v>13031.110000000015</v>
      </c>
      <c r="H54" s="52"/>
      <c r="I54" s="62">
        <v>36946.46</v>
      </c>
    </row>
    <row r="55" spans="2:9">
      <c r="B55" s="4"/>
      <c r="C55" s="43" t="s">
        <v>42</v>
      </c>
      <c r="D55" s="17"/>
      <c r="E55" s="16"/>
      <c r="F55" s="17"/>
      <c r="G55" s="28">
        <f>SUM([1]Bilag!E165)</f>
        <v>0</v>
      </c>
      <c r="H55" s="52"/>
      <c r="I55" s="63">
        <v>165000</v>
      </c>
    </row>
    <row r="56" spans="2:9">
      <c r="B56" s="4"/>
      <c r="C56" s="17" t="s">
        <v>43</v>
      </c>
      <c r="D56" s="17"/>
      <c r="E56" s="16"/>
      <c r="F56" s="17"/>
      <c r="G56" s="64">
        <f>SUM(G53:G54)</f>
        <v>127427.32000000002</v>
      </c>
      <c r="H56" s="52"/>
      <c r="I56" s="65">
        <v>114396.21</v>
      </c>
    </row>
    <row r="57" spans="2:9">
      <c r="B57" s="4"/>
      <c r="C57" s="17"/>
      <c r="D57" s="17"/>
      <c r="E57" s="16"/>
      <c r="F57" s="17"/>
      <c r="G57" s="28"/>
      <c r="H57" s="52"/>
      <c r="I57" s="63">
        <v>0</v>
      </c>
    </row>
    <row r="58" spans="2:9" ht="12.6" thickBot="1">
      <c r="B58" s="4"/>
      <c r="C58" s="66" t="s">
        <v>44</v>
      </c>
      <c r="D58" s="67"/>
      <c r="E58" s="56">
        <f>SUM(E56:E57)</f>
        <v>0</v>
      </c>
      <c r="F58" s="15"/>
      <c r="G58" s="68">
        <f>SUM(G53:G55)</f>
        <v>127427.32000000002</v>
      </c>
      <c r="H58" s="69"/>
      <c r="I58" s="70">
        <f>SUM(I53:I55)</f>
        <v>279396.20999999996</v>
      </c>
    </row>
    <row r="59" spans="2:9" ht="12.6" thickTop="1">
      <c r="B59" s="4"/>
      <c r="C59" s="17"/>
      <c r="D59" s="17"/>
      <c r="E59" s="16"/>
      <c r="F59" s="17"/>
      <c r="G59" s="16"/>
      <c r="H59" s="16"/>
      <c r="I59" s="38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PC3</cp:lastModifiedBy>
  <cp:lastPrinted>2022-02-15T08:27:07Z</cp:lastPrinted>
  <dcterms:created xsi:type="dcterms:W3CDTF">2022-02-15T08:24:39Z</dcterms:created>
  <dcterms:modified xsi:type="dcterms:W3CDTF">2022-02-15T08:27:57Z</dcterms:modified>
</cp:coreProperties>
</file>