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22068" windowHeight="9504"/>
  </bookViews>
  <sheets>
    <sheet name="Ark1" sheetId="1" r:id="rId1"/>
    <sheet name="Ark2" sheetId="2" r:id="rId2"/>
    <sheet name="Ark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F42" i="1"/>
  <c r="H66"/>
  <c r="G66"/>
  <c r="D66"/>
  <c r="H64"/>
  <c r="G64"/>
  <c r="H60"/>
  <c r="F60"/>
  <c r="G50"/>
  <c r="D50"/>
  <c r="F50"/>
  <c r="F41"/>
  <c r="G34"/>
  <c r="E34"/>
  <c r="D34"/>
  <c r="D36" s="1"/>
  <c r="F33"/>
  <c r="F32"/>
  <c r="F31"/>
  <c r="F30"/>
  <c r="F29"/>
  <c r="F28"/>
  <c r="F27"/>
  <c r="F26"/>
  <c r="F25"/>
  <c r="F24"/>
  <c r="F23"/>
  <c r="F22"/>
  <c r="F21"/>
  <c r="H20"/>
  <c r="H41" s="1"/>
  <c r="F20"/>
  <c r="D20"/>
  <c r="G13"/>
  <c r="E13"/>
  <c r="D13"/>
  <c r="D15" s="1"/>
  <c r="F12"/>
  <c r="F11"/>
  <c r="F10"/>
  <c r="H9"/>
  <c r="H34" s="1"/>
  <c r="F9"/>
  <c r="F8"/>
  <c r="F7"/>
  <c r="F34" s="1"/>
  <c r="F62" s="1"/>
  <c r="B62" l="1"/>
  <c r="F66"/>
  <c r="F64"/>
  <c r="H46"/>
  <c r="H50" s="1"/>
  <c r="H36"/>
  <c r="F36"/>
  <c r="F13"/>
  <c r="H13"/>
  <c r="H15" s="1"/>
  <c r="F15"/>
</calcChain>
</file>

<file path=xl/sharedStrings.xml><?xml version="1.0" encoding="utf-8"?>
<sst xmlns="http://schemas.openxmlformats.org/spreadsheetml/2006/main" count="49" uniqueCount="46">
  <si>
    <t>Altevatn hytte- og båteierforening</t>
  </si>
  <si>
    <r>
      <t xml:space="preserve">Årsregnskap for tidsrommet   </t>
    </r>
    <r>
      <rPr>
        <sz val="14"/>
        <rFont val="Gloucester MT Extra Condensed"/>
        <family val="1"/>
      </rPr>
      <t>01.01. 2020  -  31.12.2020</t>
    </r>
  </si>
  <si>
    <t>Driftsregnskap:</t>
  </si>
  <si>
    <t>Konto</t>
  </si>
  <si>
    <t>Innntekt:</t>
  </si>
  <si>
    <t>Budsjett 2020</t>
  </si>
  <si>
    <t>Regnskap 2020</t>
  </si>
  <si>
    <t>Budsjett 2021</t>
  </si>
  <si>
    <t>Medlemskontingent …………………………………………………</t>
  </si>
  <si>
    <t>Annonseinntekter hjemmeside - skisporet</t>
  </si>
  <si>
    <t>Delbetaling advokatutg……………………………..</t>
  </si>
  <si>
    <t>Grasrotandel…………………………………………</t>
  </si>
  <si>
    <t>Reteinntekter ……………………………………………………….</t>
  </si>
  <si>
    <t>Tilskudd………………………………………………</t>
  </si>
  <si>
    <t>Underskudd</t>
  </si>
  <si>
    <t>Inntekt i alt</t>
  </si>
  <si>
    <t xml:space="preserve"> </t>
  </si>
  <si>
    <t>Utgift:</t>
  </si>
  <si>
    <t>Godtgjøring til tillitsvalgte…………………….</t>
  </si>
  <si>
    <t>Kjøregodtgjørelse tillitsvalgte……………………….</t>
  </si>
  <si>
    <t>Møteutgifter ………………………………………….</t>
  </si>
  <si>
    <t>Utgifter hjemmeside…………………………………</t>
  </si>
  <si>
    <t>Utgifter skisporet…………………………………….</t>
  </si>
  <si>
    <t>Utgifter løypekjøring………………………………….</t>
  </si>
  <si>
    <t>Advokatutgifter……………………………………….</t>
  </si>
  <si>
    <t>Blomster og gaver…………………………………..</t>
  </si>
  <si>
    <t>Tursti sørsida………………………………………..</t>
  </si>
  <si>
    <t>Investering ( nye pc- kasserer/sekr.)</t>
  </si>
  <si>
    <t>Diverse (sosialt samvær)</t>
  </si>
  <si>
    <t>Bankgebyr……………………………………………………………</t>
  </si>
  <si>
    <t>Annen driftskostnad………………………………………………….</t>
  </si>
  <si>
    <t>Overskudd…………………………………………………………….</t>
  </si>
  <si>
    <t>Utgift i alt</t>
  </si>
  <si>
    <t>Balansekonti</t>
  </si>
  <si>
    <t>Eiendeler</t>
  </si>
  <si>
    <t>Debitorer……………………………………………………………</t>
  </si>
  <si>
    <t>Kassabeholdning………………………………………………….</t>
  </si>
  <si>
    <t>Bankinnskudd:</t>
  </si>
  <si>
    <t>Bank - driftskonto………………………………………………….</t>
  </si>
  <si>
    <t>Bank - depositum adv. Malm/Statskog………………………………………………..</t>
  </si>
  <si>
    <t>Sum eiendeler</t>
  </si>
  <si>
    <t>Gjeld og egenkapital</t>
  </si>
  <si>
    <t>Egenkapital IB…………………………………………………….</t>
  </si>
  <si>
    <t>Kreditorer…………………………………………………………</t>
  </si>
  <si>
    <t>Ny egenkapital UB……………………………………………….</t>
  </si>
  <si>
    <t>Sum gjeld og egenkapital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</si>
</sst>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 * #,##0.00_ ;_ * \-#,##0.00_ ;_ * &quot;-&quot;??_ ;_ @_ "/>
    <numFmt numFmtId="165" formatCode="#,##0.00_ ;\-#,##0.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Times New Roman"/>
      <family val="1"/>
    </font>
    <font>
      <sz val="11"/>
      <name val="Avalon"/>
      <family val="2"/>
    </font>
    <font>
      <sz val="16"/>
      <name val="Gloucester MT Extra Condensed"/>
      <family val="1"/>
    </font>
    <font>
      <sz val="14"/>
      <name val="Gloucester MT Extra Condensed"/>
      <family val="1"/>
    </font>
    <font>
      <sz val="16"/>
      <name val="Arial"/>
      <family val="2"/>
    </font>
    <font>
      <sz val="14"/>
      <name val="Arial"/>
      <family val="2"/>
    </font>
    <font>
      <sz val="14"/>
      <name val="Bernard MT Condensed"/>
      <family val="1"/>
    </font>
    <font>
      <sz val="14"/>
      <name val="Times New Roman"/>
      <family val="1"/>
    </font>
    <font>
      <sz val="10"/>
      <name val="Arial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sz val="10"/>
      <color theme="3" tint="0.39997558519241921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4" fontId="3" fillId="0" borderId="0" xfId="0" applyNumberFormat="1" applyFont="1" applyBorder="1"/>
    <xf numFmtId="0" fontId="0" fillId="0" borderId="0" xfId="0" applyAlignment="1">
      <alignment horizontal="center"/>
    </xf>
    <xf numFmtId="49" fontId="4" fillId="0" borderId="0" xfId="0" applyNumberFormat="1" applyFont="1" applyBorder="1"/>
    <xf numFmtId="49" fontId="6" fillId="0" borderId="0" xfId="0" applyNumberFormat="1" applyFont="1" applyBorder="1"/>
    <xf numFmtId="4" fontId="6" fillId="0" borderId="0" xfId="0" applyNumberFormat="1" applyFont="1" applyBorder="1"/>
    <xf numFmtId="49" fontId="7" fillId="0" borderId="0" xfId="0" applyNumberFormat="1" applyFont="1" applyBorder="1"/>
    <xf numFmtId="0" fontId="7" fillId="0" borderId="0" xfId="0" applyFont="1" applyBorder="1"/>
    <xf numFmtId="0" fontId="8" fillId="0" borderId="0" xfId="0" applyFont="1" applyBorder="1"/>
    <xf numFmtId="4" fontId="8" fillId="0" borderId="0" xfId="0" applyNumberFormat="1" applyFont="1" applyBorder="1"/>
    <xf numFmtId="0" fontId="9" fillId="0" borderId="0" xfId="0" applyFont="1" applyBorder="1"/>
    <xf numFmtId="0" fontId="10" fillId="0" borderId="0" xfId="0" applyFont="1" applyBorder="1"/>
    <xf numFmtId="4" fontId="10" fillId="0" borderId="0" xfId="0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 applyAlignment="1">
      <alignment horizontal="right"/>
    </xf>
    <xf numFmtId="0" fontId="1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" fontId="10" fillId="2" borderId="0" xfId="1" applyNumberFormat="1" applyFont="1" applyFill="1"/>
    <xf numFmtId="0" fontId="10" fillId="0" borderId="0" xfId="0" applyFont="1"/>
    <xf numFmtId="4" fontId="10" fillId="0" borderId="0" xfId="1" applyNumberFormat="1" applyFont="1" applyBorder="1"/>
    <xf numFmtId="4" fontId="15" fillId="0" borderId="0" xfId="1" applyNumberFormat="1" applyFont="1" applyAlignment="1">
      <alignment horizontal="right"/>
    </xf>
    <xf numFmtId="4" fontId="0" fillId="0" borderId="0" xfId="0" applyNumberFormat="1" applyBorder="1"/>
    <xf numFmtId="4" fontId="10" fillId="0" borderId="0" xfId="1" applyNumberFormat="1" applyFont="1" applyAlignment="1">
      <alignment horizontal="right"/>
    </xf>
    <xf numFmtId="4" fontId="16" fillId="2" borderId="0" xfId="0" applyNumberFormat="1" applyFont="1" applyFill="1"/>
    <xf numFmtId="0" fontId="17" fillId="0" borderId="1" xfId="0" applyFont="1" applyBorder="1"/>
    <xf numFmtId="4" fontId="17" fillId="0" borderId="1" xfId="0" applyNumberFormat="1" applyFont="1" applyBorder="1"/>
    <xf numFmtId="0" fontId="17" fillId="0" borderId="0" xfId="0" applyFont="1" applyBorder="1"/>
    <xf numFmtId="4" fontId="17" fillId="0" borderId="2" xfId="0" applyNumberFormat="1" applyFont="1" applyBorder="1"/>
    <xf numFmtId="4" fontId="17" fillId="0" borderId="0" xfId="0" applyNumberFormat="1" applyFont="1" applyBorder="1"/>
    <xf numFmtId="4" fontId="17" fillId="2" borderId="2" xfId="1" applyNumberFormat="1" applyFont="1" applyFill="1" applyBorder="1" applyProtection="1">
      <protection locked="0"/>
    </xf>
    <xf numFmtId="164" fontId="0" fillId="0" borderId="0" xfId="1" applyNumberFormat="1" applyFont="1"/>
    <xf numFmtId="0" fontId="14" fillId="0" borderId="0" xfId="0" applyFont="1" applyBorder="1" applyAlignment="1">
      <alignment horizontal="right"/>
    </xf>
    <xf numFmtId="0" fontId="14" fillId="2" borderId="0" xfId="0" applyFont="1" applyFill="1" applyAlignment="1">
      <alignment horizontal="right"/>
    </xf>
    <xf numFmtId="0" fontId="10" fillId="0" borderId="0" xfId="0" applyFont="1" applyAlignment="1">
      <alignment horizontal="center"/>
    </xf>
    <xf numFmtId="0" fontId="18" fillId="0" borderId="0" xfId="0" applyFont="1" applyBorder="1"/>
    <xf numFmtId="4" fontId="0" fillId="2" borderId="0" xfId="1" applyNumberFormat="1" applyFont="1" applyFill="1"/>
    <xf numFmtId="0" fontId="10" fillId="0" borderId="0" xfId="0" applyFont="1" applyFill="1" applyBorder="1"/>
    <xf numFmtId="4" fontId="0" fillId="2" borderId="0" xfId="1" applyNumberFormat="1" applyFont="1" applyFill="1" applyAlignment="1">
      <alignment horizontal="right"/>
    </xf>
    <xf numFmtId="4" fontId="17" fillId="0" borderId="0" xfId="1" applyNumberFormat="1" applyFont="1" applyAlignment="1">
      <alignment horizontal="right"/>
    </xf>
    <xf numFmtId="4" fontId="19" fillId="0" borderId="0" xfId="1" applyNumberFormat="1" applyFont="1" applyAlignment="1">
      <alignment horizontal="right"/>
    </xf>
    <xf numFmtId="4" fontId="0" fillId="0" borderId="0" xfId="0" applyNumberFormat="1"/>
    <xf numFmtId="4" fontId="0" fillId="2" borderId="0" xfId="0" applyNumberFormat="1" applyFill="1"/>
    <xf numFmtId="4" fontId="17" fillId="2" borderId="2" xfId="0" applyNumberFormat="1" applyFont="1" applyFill="1" applyBorder="1"/>
    <xf numFmtId="0" fontId="20" fillId="0" borderId="0" xfId="0" applyFont="1" applyBorder="1"/>
    <xf numFmtId="0" fontId="13" fillId="2" borderId="0" xfId="0" applyFont="1" applyFill="1" applyAlignment="1">
      <alignment horizontal="right"/>
    </xf>
    <xf numFmtId="0" fontId="21" fillId="0" borderId="0" xfId="0" applyFont="1" applyBorder="1"/>
    <xf numFmtId="4" fontId="21" fillId="0" borderId="0" xfId="0" applyNumberFormat="1" applyFont="1" applyBorder="1"/>
    <xf numFmtId="0" fontId="22" fillId="0" borderId="0" xfId="0" applyFont="1" applyBorder="1" applyAlignment="1">
      <alignment horizontal="center"/>
    </xf>
    <xf numFmtId="4" fontId="23" fillId="2" borderId="0" xfId="0" applyNumberFormat="1" applyFont="1" applyFill="1" applyAlignment="1">
      <alignment horizontal="right"/>
    </xf>
    <xf numFmtId="0" fontId="11" fillId="0" borderId="0" xfId="0" applyFont="1" applyBorder="1"/>
    <xf numFmtId="164" fontId="10" fillId="0" borderId="0" xfId="1" applyNumberFormat="1" applyFont="1" applyBorder="1"/>
    <xf numFmtId="4" fontId="10" fillId="2" borderId="0" xfId="1" applyNumberFormat="1" applyFont="1" applyFill="1" applyAlignment="1">
      <alignment horizontal="right"/>
    </xf>
    <xf numFmtId="165" fontId="0" fillId="0" borderId="0" xfId="1" applyNumberFormat="1" applyFont="1"/>
    <xf numFmtId="0" fontId="10" fillId="0" borderId="1" xfId="0" applyFont="1" applyBorder="1"/>
    <xf numFmtId="4" fontId="10" fillId="0" borderId="1" xfId="0" applyNumberFormat="1" applyFont="1" applyBorder="1"/>
    <xf numFmtId="4" fontId="17" fillId="0" borderId="2" xfId="1" applyNumberFormat="1" applyFont="1" applyBorder="1"/>
    <xf numFmtId="4" fontId="10" fillId="2" borderId="0" xfId="1" applyNumberFormat="1" applyFont="1" applyFill="1" applyBorder="1" applyAlignment="1">
      <alignment horizontal="right"/>
    </xf>
    <xf numFmtId="4" fontId="19" fillId="0" borderId="3" xfId="1" applyNumberFormat="1" applyFont="1" applyBorder="1" applyAlignment="1">
      <alignment horizontal="right"/>
    </xf>
    <xf numFmtId="164" fontId="0" fillId="2" borderId="0" xfId="1" applyNumberFormat="1" applyFont="1" applyFill="1" applyAlignment="1">
      <alignment horizontal="right"/>
    </xf>
    <xf numFmtId="164" fontId="0" fillId="2" borderId="0" xfId="1" applyNumberFormat="1" applyFont="1" applyFill="1"/>
    <xf numFmtId="4" fontId="17" fillId="0" borderId="0" xfId="1" applyNumberFormat="1" applyFont="1" applyBorder="1"/>
    <xf numFmtId="49" fontId="17" fillId="0" borderId="1" xfId="0" applyNumberFormat="1" applyFont="1" applyBorder="1"/>
    <xf numFmtId="49" fontId="10" fillId="0" borderId="1" xfId="0" applyNumberFormat="1" applyFont="1" applyBorder="1"/>
    <xf numFmtId="49" fontId="10" fillId="0" borderId="0" xfId="0" applyNumberFormat="1" applyFont="1" applyBorder="1"/>
    <xf numFmtId="4" fontId="17" fillId="0" borderId="2" xfId="1" applyNumberFormat="1" applyFont="1" applyBorder="1" applyAlignment="1">
      <alignment horizontal="right"/>
    </xf>
  </cellXfs>
  <cellStyles count="2">
    <cellStyle name="Normal" xfId="0" builtinId="0"/>
    <cellStyle name="Tusenskille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gnskap%20AHB%202020%20med%20budsjet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lag"/>
      <sheetName val="Regnskap"/>
      <sheetName val="Diverse"/>
      <sheetName val="Ark5"/>
      <sheetName val="Ark7"/>
      <sheetName val="Ark1"/>
    </sheetNames>
    <sheetDataSet>
      <sheetData sheetId="0">
        <row r="4">
          <cell r="M4" t="str">
            <v>Kontonr.</v>
          </cell>
        </row>
        <row r="5">
          <cell r="K5" t="str">
            <v>Debet</v>
          </cell>
          <cell r="L5" t="str">
            <v>Kredit</v>
          </cell>
        </row>
        <row r="7">
          <cell r="K7">
            <v>42</v>
          </cell>
          <cell r="M7">
            <v>7770</v>
          </cell>
        </row>
        <row r="8">
          <cell r="L8">
            <v>6893.46</v>
          </cell>
          <cell r="M8">
            <v>3940</v>
          </cell>
        </row>
        <row r="9">
          <cell r="K9">
            <v>5892</v>
          </cell>
          <cell r="M9">
            <v>7100</v>
          </cell>
        </row>
        <row r="10">
          <cell r="K10">
            <v>109.7</v>
          </cell>
          <cell r="M10">
            <v>7790</v>
          </cell>
        </row>
        <row r="11">
          <cell r="K11">
            <v>510</v>
          </cell>
          <cell r="M11">
            <v>7790</v>
          </cell>
        </row>
        <row r="12">
          <cell r="L12">
            <v>2400</v>
          </cell>
          <cell r="M12">
            <v>3110</v>
          </cell>
        </row>
        <row r="13">
          <cell r="K13">
            <v>20</v>
          </cell>
          <cell r="M13">
            <v>7770</v>
          </cell>
        </row>
        <row r="14">
          <cell r="K14">
            <v>510</v>
          </cell>
          <cell r="M14">
            <v>7790</v>
          </cell>
        </row>
        <row r="15">
          <cell r="L15">
            <v>24950</v>
          </cell>
          <cell r="M15">
            <v>3110</v>
          </cell>
        </row>
        <row r="16">
          <cell r="L16">
            <v>903</v>
          </cell>
          <cell r="M16">
            <v>3110</v>
          </cell>
        </row>
        <row r="17">
          <cell r="K17">
            <v>15.8</v>
          </cell>
          <cell r="M17">
            <v>7770</v>
          </cell>
        </row>
        <row r="18">
          <cell r="K18">
            <v>4500</v>
          </cell>
          <cell r="M18">
            <v>6940</v>
          </cell>
        </row>
        <row r="19">
          <cell r="K19">
            <v>299.82</v>
          </cell>
          <cell r="M19">
            <v>7790</v>
          </cell>
        </row>
        <row r="20">
          <cell r="K20">
            <v>72</v>
          </cell>
          <cell r="M20">
            <v>6860</v>
          </cell>
        </row>
        <row r="21">
          <cell r="K21">
            <v>2.5</v>
          </cell>
          <cell r="M21">
            <v>7770</v>
          </cell>
        </row>
        <row r="22">
          <cell r="L22">
            <v>21900</v>
          </cell>
          <cell r="M22">
            <v>3110</v>
          </cell>
        </row>
        <row r="23">
          <cell r="K23">
            <v>638</v>
          </cell>
          <cell r="M23">
            <v>7790</v>
          </cell>
        </row>
        <row r="24">
          <cell r="K24">
            <v>238</v>
          </cell>
          <cell r="M24">
            <v>6860</v>
          </cell>
        </row>
        <row r="26">
          <cell r="L26">
            <v>1800</v>
          </cell>
          <cell r="M26">
            <v>3110</v>
          </cell>
        </row>
        <row r="27">
          <cell r="L27">
            <v>6000</v>
          </cell>
          <cell r="M27">
            <v>3900</v>
          </cell>
        </row>
        <row r="28">
          <cell r="K28">
            <v>7</v>
          </cell>
          <cell r="M28">
            <v>7770</v>
          </cell>
        </row>
        <row r="29">
          <cell r="K29">
            <v>6.5</v>
          </cell>
          <cell r="M29">
            <v>7770</v>
          </cell>
        </row>
        <row r="30">
          <cell r="L30">
            <v>7191.52</v>
          </cell>
          <cell r="M30">
            <v>3940</v>
          </cell>
        </row>
        <row r="31">
          <cell r="L31">
            <v>7200</v>
          </cell>
          <cell r="M31">
            <v>3110</v>
          </cell>
        </row>
        <row r="32">
          <cell r="L32">
            <v>49.12</v>
          </cell>
          <cell r="M32">
            <v>3110</v>
          </cell>
        </row>
        <row r="33">
          <cell r="K33">
            <v>340</v>
          </cell>
          <cell r="M33">
            <v>6860</v>
          </cell>
        </row>
        <row r="34">
          <cell r="L34">
            <v>250</v>
          </cell>
          <cell r="M34">
            <v>3110</v>
          </cell>
        </row>
        <row r="35">
          <cell r="L35">
            <v>1500</v>
          </cell>
          <cell r="M35">
            <v>3110</v>
          </cell>
        </row>
        <row r="36">
          <cell r="K36">
            <v>5.5</v>
          </cell>
          <cell r="M36">
            <v>7770</v>
          </cell>
        </row>
        <row r="37">
          <cell r="K37">
            <v>100</v>
          </cell>
          <cell r="M37">
            <v>6860</v>
          </cell>
        </row>
        <row r="38">
          <cell r="K38">
            <v>132</v>
          </cell>
          <cell r="M38">
            <v>6860</v>
          </cell>
        </row>
        <row r="39">
          <cell r="K39">
            <v>220</v>
          </cell>
          <cell r="M39">
            <v>7140</v>
          </cell>
        </row>
        <row r="40">
          <cell r="K40">
            <v>10324.06</v>
          </cell>
          <cell r="M40">
            <v>7100</v>
          </cell>
        </row>
        <row r="41">
          <cell r="K41">
            <v>49.12</v>
          </cell>
          <cell r="M41">
            <v>7790</v>
          </cell>
        </row>
        <row r="45">
          <cell r="K45" t="str">
            <v>Driftskonto</v>
          </cell>
          <cell r="M45" t="str">
            <v>Kontonr.</v>
          </cell>
        </row>
        <row r="46">
          <cell r="K46" t="str">
            <v>Debet</v>
          </cell>
          <cell r="L46" t="str">
            <v>Kredit</v>
          </cell>
        </row>
        <row r="47">
          <cell r="L47">
            <v>-600</v>
          </cell>
          <cell r="M47">
            <v>3110</v>
          </cell>
        </row>
        <row r="49">
          <cell r="K49">
            <v>789</v>
          </cell>
          <cell r="M49">
            <v>7790</v>
          </cell>
        </row>
        <row r="50">
          <cell r="L50">
            <v>1200</v>
          </cell>
          <cell r="M50">
            <v>3110</v>
          </cell>
        </row>
        <row r="51">
          <cell r="K51">
            <v>34.5</v>
          </cell>
          <cell r="M51">
            <v>7770</v>
          </cell>
        </row>
        <row r="52">
          <cell r="L52">
            <v>294.75</v>
          </cell>
          <cell r="M52">
            <v>3110</v>
          </cell>
        </row>
        <row r="53">
          <cell r="L53">
            <v>294.75</v>
          </cell>
          <cell r="M53">
            <v>3110</v>
          </cell>
        </row>
        <row r="54">
          <cell r="K54">
            <v>2650</v>
          </cell>
          <cell r="M54">
            <v>7400</v>
          </cell>
        </row>
        <row r="55">
          <cell r="K55">
            <v>12900</v>
          </cell>
          <cell r="M55">
            <v>7420</v>
          </cell>
        </row>
        <row r="56">
          <cell r="K56">
            <v>328.6</v>
          </cell>
          <cell r="M56">
            <v>6860</v>
          </cell>
        </row>
        <row r="57">
          <cell r="K57">
            <v>2598.8000000000002</v>
          </cell>
          <cell r="M57">
            <v>6880</v>
          </cell>
        </row>
        <row r="58">
          <cell r="L58">
            <v>3750</v>
          </cell>
          <cell r="M58">
            <v>3110</v>
          </cell>
        </row>
        <row r="59">
          <cell r="K59">
            <v>-4300</v>
          </cell>
          <cell r="M59">
            <v>7420</v>
          </cell>
        </row>
        <row r="60">
          <cell r="L60">
            <v>6247.57</v>
          </cell>
          <cell r="M60">
            <v>3940</v>
          </cell>
        </row>
        <row r="61">
          <cell r="L61">
            <v>1000</v>
          </cell>
          <cell r="M61">
            <v>3900</v>
          </cell>
        </row>
        <row r="62">
          <cell r="L62">
            <v>1000</v>
          </cell>
          <cell r="M62">
            <v>3900</v>
          </cell>
        </row>
        <row r="63">
          <cell r="K63">
            <v>14</v>
          </cell>
          <cell r="M63">
            <v>7770</v>
          </cell>
        </row>
        <row r="64">
          <cell r="L64">
            <v>1000</v>
          </cell>
          <cell r="M64">
            <v>3900</v>
          </cell>
        </row>
        <row r="65">
          <cell r="L65">
            <v>600</v>
          </cell>
          <cell r="M65">
            <v>3110</v>
          </cell>
        </row>
        <row r="66">
          <cell r="K66">
            <v>2535</v>
          </cell>
          <cell r="M66">
            <v>6880</v>
          </cell>
        </row>
        <row r="67">
          <cell r="K67">
            <v>5.5</v>
          </cell>
          <cell r="M67">
            <v>7770</v>
          </cell>
        </row>
        <row r="68">
          <cell r="L68">
            <v>150</v>
          </cell>
          <cell r="M68">
            <v>3110</v>
          </cell>
        </row>
        <row r="69">
          <cell r="L69">
            <v>-589.5</v>
          </cell>
          <cell r="M69">
            <v>3110</v>
          </cell>
        </row>
        <row r="70">
          <cell r="K70">
            <v>5.5</v>
          </cell>
          <cell r="M70">
            <v>7770</v>
          </cell>
        </row>
        <row r="71">
          <cell r="L71">
            <v>10000</v>
          </cell>
          <cell r="M71">
            <v>3995</v>
          </cell>
        </row>
        <row r="72">
          <cell r="L72">
            <v>300</v>
          </cell>
          <cell r="M72">
            <v>3110</v>
          </cell>
        </row>
        <row r="73">
          <cell r="K73">
            <v>549</v>
          </cell>
          <cell r="M73">
            <v>7790</v>
          </cell>
        </row>
        <row r="74">
          <cell r="K74">
            <v>2978.5</v>
          </cell>
          <cell r="M74">
            <v>6800</v>
          </cell>
        </row>
        <row r="75">
          <cell r="K75">
            <v>2989</v>
          </cell>
          <cell r="M75">
            <v>6800</v>
          </cell>
        </row>
        <row r="76">
          <cell r="K76">
            <v>17000</v>
          </cell>
          <cell r="M76">
            <v>5330</v>
          </cell>
        </row>
        <row r="77">
          <cell r="K77">
            <v>3689</v>
          </cell>
          <cell r="M77">
            <v>6800</v>
          </cell>
        </row>
        <row r="78">
          <cell r="L78">
            <v>26.29</v>
          </cell>
          <cell r="M78">
            <v>3990</v>
          </cell>
        </row>
        <row r="79">
          <cell r="L79">
            <v>35.9</v>
          </cell>
          <cell r="M79">
            <v>3990</v>
          </cell>
        </row>
        <row r="88">
          <cell r="K88" t="str">
            <v>Driftskonto</v>
          </cell>
          <cell r="M88" t="str">
            <v>Kontonr.</v>
          </cell>
        </row>
        <row r="89">
          <cell r="K89" t="str">
            <v>Debet</v>
          </cell>
          <cell r="L89" t="str">
            <v>Kredit</v>
          </cell>
        </row>
        <row r="130">
          <cell r="K130" t="str">
            <v>Driftskonto</v>
          </cell>
          <cell r="M130" t="str">
            <v>Kontonr.</v>
          </cell>
        </row>
        <row r="131">
          <cell r="K131" t="str">
            <v>Debet</v>
          </cell>
          <cell r="L131" t="str">
            <v>Kredit</v>
          </cell>
        </row>
        <row r="163">
          <cell r="K163">
            <v>68800.399999999994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7"/>
  <sheetViews>
    <sheetView tabSelected="1" topLeftCell="A39" workbookViewId="0">
      <selection activeCell="F47" sqref="F47"/>
    </sheetView>
  </sheetViews>
  <sheetFormatPr baseColWidth="10" defaultRowHeight="14.4"/>
  <cols>
    <col min="2" max="2" width="11.5546875" customWidth="1"/>
  </cols>
  <sheetData>
    <row r="1" spans="1:8" ht="22.8">
      <c r="A1" s="1"/>
      <c r="B1" s="2" t="s">
        <v>0</v>
      </c>
      <c r="C1" s="2"/>
      <c r="D1" s="3"/>
      <c r="E1" s="4"/>
      <c r="F1" s="2"/>
      <c r="G1" s="5"/>
    </row>
    <row r="2" spans="1:8">
      <c r="A2" s="6"/>
      <c r="B2" s="7"/>
      <c r="C2" s="7"/>
      <c r="D2" s="8"/>
      <c r="E2" s="7"/>
      <c r="F2" s="5"/>
      <c r="G2" s="5"/>
    </row>
    <row r="3" spans="1:8" ht="20.399999999999999">
      <c r="A3" s="9"/>
      <c r="B3" s="10" t="s">
        <v>1</v>
      </c>
      <c r="C3" s="11"/>
      <c r="D3" s="12"/>
      <c r="E3" s="11"/>
      <c r="F3" s="11"/>
      <c r="G3" s="13"/>
    </row>
    <row r="4" spans="1:8" ht="17.399999999999999">
      <c r="A4" s="9"/>
      <c r="B4" s="14"/>
      <c r="C4" s="15"/>
      <c r="D4" s="16"/>
      <c r="E4" s="14"/>
      <c r="F4" s="14"/>
      <c r="G4" s="14"/>
    </row>
    <row r="5" spans="1:8" ht="18">
      <c r="A5" s="9"/>
      <c r="B5" s="17" t="s">
        <v>2</v>
      </c>
      <c r="C5" s="18"/>
      <c r="D5" s="19"/>
      <c r="E5" s="18"/>
      <c r="G5" s="5"/>
    </row>
    <row r="6" spans="1:8">
      <c r="A6" s="20" t="s">
        <v>3</v>
      </c>
      <c r="B6" s="21" t="s">
        <v>4</v>
      </c>
      <c r="C6" s="18"/>
      <c r="D6" s="22" t="s">
        <v>5</v>
      </c>
      <c r="E6" s="18"/>
      <c r="F6" s="23" t="s">
        <v>6</v>
      </c>
      <c r="G6" s="24"/>
      <c r="H6" s="23" t="s">
        <v>7</v>
      </c>
    </row>
    <row r="7" spans="1:8">
      <c r="A7" s="9">
        <v>3110</v>
      </c>
      <c r="B7" s="25" t="s">
        <v>8</v>
      </c>
      <c r="C7" s="18"/>
      <c r="D7" s="26">
        <v>65000</v>
      </c>
      <c r="E7" s="18"/>
      <c r="F7" s="19">
        <f>SUMIF([1]Bilag!$M$1:$M$159,3110,[1]Bilag!$L$1:$L$159)</f>
        <v>66352.12</v>
      </c>
      <c r="G7" s="19"/>
      <c r="H7" s="19">
        <v>70000</v>
      </c>
    </row>
    <row r="8" spans="1:8">
      <c r="A8" s="9">
        <v>3900</v>
      </c>
      <c r="B8" s="18" t="s">
        <v>9</v>
      </c>
      <c r="C8" s="18"/>
      <c r="D8" s="26">
        <v>10000</v>
      </c>
      <c r="E8" s="18"/>
      <c r="F8" s="19">
        <f>SUMIF([1]Bilag!$M$1:$M$159,3900,[1]Bilag!$L$1:$L$159)</f>
        <v>9000</v>
      </c>
      <c r="G8" s="19"/>
      <c r="H8" s="19">
        <v>10000</v>
      </c>
    </row>
    <row r="9" spans="1:8">
      <c r="A9" s="9">
        <v>3930</v>
      </c>
      <c r="B9" s="18" t="s">
        <v>10</v>
      </c>
      <c r="C9" s="18"/>
      <c r="D9" s="26"/>
      <c r="E9" s="18"/>
      <c r="F9" s="19">
        <f>SUMIF([1]Bilag!$M$1:$M$159,3930,[1]Bilag!$L$1:$L$159)</f>
        <v>0</v>
      </c>
      <c r="G9" s="19"/>
      <c r="H9" s="19">
        <f>SUMIF([1]Bilag!$M$1:$M$159,3930,[1]Bilag!$L$1:$L$159)</f>
        <v>0</v>
      </c>
    </row>
    <row r="10" spans="1:8">
      <c r="A10" s="9">
        <v>3940</v>
      </c>
      <c r="B10" s="18" t="s">
        <v>11</v>
      </c>
      <c r="C10" s="18"/>
      <c r="D10" s="26">
        <v>20000</v>
      </c>
      <c r="E10" s="18"/>
      <c r="F10" s="19">
        <f>SUMIF([1]Bilag!$M$1:$M$159,3940,[1]Bilag!$L$1:$L$159)</f>
        <v>20332.55</v>
      </c>
      <c r="G10" s="19"/>
      <c r="H10" s="19">
        <v>26000</v>
      </c>
    </row>
    <row r="11" spans="1:8">
      <c r="A11" s="9">
        <v>3990</v>
      </c>
      <c r="B11" s="27" t="s">
        <v>12</v>
      </c>
      <c r="D11" s="26">
        <v>200</v>
      </c>
      <c r="E11" s="5"/>
      <c r="F11" s="19">
        <f>SUMIF([1]Bilag!$M$1:$M$159,3990,[1]Bilag!$L$1:$L$159)</f>
        <v>62.19</v>
      </c>
      <c r="G11" s="28"/>
      <c r="H11" s="19">
        <v>70</v>
      </c>
    </row>
    <row r="12" spans="1:8">
      <c r="A12" s="9">
        <v>3995</v>
      </c>
      <c r="B12" s="18" t="s">
        <v>13</v>
      </c>
      <c r="C12" s="18"/>
      <c r="D12" s="26"/>
      <c r="E12" s="18"/>
      <c r="F12" s="19">
        <f>SUMIF([1]Bilag!$M$1:$M$159,3995,[1]Bilag!$L$1:$L$159)</f>
        <v>10000</v>
      </c>
      <c r="G12" s="19"/>
      <c r="H12" s="19">
        <v>-10000</v>
      </c>
    </row>
    <row r="13" spans="1:8">
      <c r="A13" s="9">
        <v>8800</v>
      </c>
      <c r="B13" s="19" t="s">
        <v>14</v>
      </c>
      <c r="C13" s="5"/>
      <c r="D13" s="29">
        <f>IF(SUM(D21:D33)&gt;SUM(D7:D12),SUM(D21:D33)-SUM(D7:D12),0)</f>
        <v>0</v>
      </c>
      <c r="E13" s="29">
        <f>IF(SUM(E21:E33)&gt;SUM(E7:E12),SUM(E21:E33)-SUM(E7:E12),0)</f>
        <v>0</v>
      </c>
      <c r="F13" s="29">
        <f>IF(SUM(F21:F33)&gt;SUM(F7:F12),SUM(F21:F33)-SUM(F7:F12),0)</f>
        <v>0</v>
      </c>
      <c r="G13" s="29">
        <f t="shared" ref="G13:H13" si="0">IF(SUM(G21:G33)&gt;SUM(G7:G12),SUM(G21:G33)-SUM(G7:G12),0)</f>
        <v>0</v>
      </c>
      <c r="H13" s="29">
        <f t="shared" si="0"/>
        <v>0</v>
      </c>
    </row>
    <row r="14" spans="1:8">
      <c r="A14" s="9"/>
      <c r="B14" s="19"/>
      <c r="C14" s="5"/>
      <c r="D14" s="30"/>
      <c r="E14" s="5"/>
      <c r="F14" s="31"/>
      <c r="G14" s="28"/>
      <c r="H14" s="32"/>
    </row>
    <row r="15" spans="1:8" ht="15" thickBot="1">
      <c r="A15" s="9"/>
      <c r="B15" s="33" t="s">
        <v>15</v>
      </c>
      <c r="C15" s="33"/>
      <c r="D15" s="34">
        <f>SUM(D7:D14)</f>
        <v>95200</v>
      </c>
      <c r="E15" s="35"/>
      <c r="F15" s="36">
        <f>SUM(F7:F13)</f>
        <v>105746.86</v>
      </c>
      <c r="G15" s="37"/>
      <c r="H15" s="38">
        <f>SUM(H7:H14)</f>
        <v>96070</v>
      </c>
    </row>
    <row r="16" spans="1:8" ht="15" thickTop="1">
      <c r="A16" s="9"/>
      <c r="B16" s="18" t="s">
        <v>16</v>
      </c>
      <c r="C16" s="18"/>
      <c r="D16" s="19"/>
      <c r="E16" s="18"/>
      <c r="F16" s="19"/>
      <c r="G16" s="19"/>
      <c r="H16" s="39"/>
    </row>
    <row r="17" spans="1:8">
      <c r="A17" s="9"/>
      <c r="B17" s="18"/>
      <c r="C17" s="18"/>
      <c r="D17" s="19"/>
      <c r="E17" s="18"/>
      <c r="F17" s="19"/>
      <c r="G17" s="19"/>
      <c r="H17" s="39"/>
    </row>
    <row r="18" spans="1:8">
      <c r="A18" s="9"/>
      <c r="B18" s="18"/>
      <c r="C18" s="18"/>
      <c r="D18" s="19"/>
      <c r="E18" s="18"/>
      <c r="F18" s="19"/>
      <c r="G18" s="19"/>
      <c r="H18" s="39"/>
    </row>
    <row r="19" spans="1:8">
      <c r="A19" s="9"/>
      <c r="B19" s="18"/>
      <c r="C19" s="18"/>
      <c r="D19" s="19"/>
      <c r="E19" s="18"/>
      <c r="F19" s="19"/>
      <c r="G19" s="19"/>
      <c r="H19" s="39"/>
    </row>
    <row r="20" spans="1:8">
      <c r="A20" s="20" t="s">
        <v>3</v>
      </c>
      <c r="B20" s="21" t="s">
        <v>17</v>
      </c>
      <c r="C20" s="18"/>
      <c r="D20" s="22" t="str">
        <f>+D6</f>
        <v>Budsjett 2020</v>
      </c>
      <c r="E20" s="18"/>
      <c r="F20" s="40" t="str">
        <f>+F6</f>
        <v>Regnskap 2020</v>
      </c>
      <c r="G20" s="40"/>
      <c r="H20" s="41" t="str">
        <f>+H6</f>
        <v>Budsjett 2021</v>
      </c>
    </row>
    <row r="21" spans="1:8">
      <c r="A21" s="42">
        <v>5330</v>
      </c>
      <c r="B21" s="43" t="s">
        <v>18</v>
      </c>
      <c r="C21" s="18"/>
      <c r="D21" s="44">
        <v>17000</v>
      </c>
      <c r="E21" s="18"/>
      <c r="F21" s="19">
        <f>SUMIF([1]Bilag!$M$1:$M$163,"5330",[1]Bilag!$K$1:$K$163)</f>
        <v>17000</v>
      </c>
      <c r="G21" s="19"/>
      <c r="H21" s="19">
        <v>17000</v>
      </c>
    </row>
    <row r="22" spans="1:8">
      <c r="A22" s="9">
        <v>6800</v>
      </c>
      <c r="B22" s="45" t="s">
        <v>19</v>
      </c>
      <c r="C22" s="18"/>
      <c r="D22" s="44">
        <v>10000</v>
      </c>
      <c r="E22" s="18"/>
      <c r="F22" s="19">
        <f>SUMIF([1]Bilag!$M$1:$M$163,6800,[1]Bilag!$K$1:$K$163)</f>
        <v>9656.5</v>
      </c>
      <c r="G22" s="19"/>
      <c r="H22" s="19">
        <v>10000</v>
      </c>
    </row>
    <row r="23" spans="1:8">
      <c r="A23" s="9">
        <v>6860</v>
      </c>
      <c r="B23" s="45" t="s">
        <v>20</v>
      </c>
      <c r="C23" s="18"/>
      <c r="D23" s="46">
        <v>2000</v>
      </c>
      <c r="E23" s="18"/>
      <c r="F23" s="19">
        <f>SUMIF([1]Bilag!$M$1:$M$163,"6860",[1]Bilag!$K$1:$K$163)</f>
        <v>1210.5999999999999</v>
      </c>
      <c r="G23" s="19"/>
      <c r="H23" s="19">
        <v>2000</v>
      </c>
    </row>
    <row r="24" spans="1:8">
      <c r="A24" s="9">
        <v>6880</v>
      </c>
      <c r="B24" s="45" t="s">
        <v>21</v>
      </c>
      <c r="C24" s="18"/>
      <c r="D24" s="46">
        <v>5500</v>
      </c>
      <c r="E24" s="18"/>
      <c r="F24" s="19">
        <f>SUMIF([1]Bilag!$M$1:$M$159,6880,[1]Bilag!$K$1:$K$159)-SUMIF([1]Bilag!$M$1:$M$159,6910,[1]Bilag!$L$1:$L$159)</f>
        <v>5133.8</v>
      </c>
      <c r="G24" s="19"/>
      <c r="H24" s="19">
        <v>4800</v>
      </c>
    </row>
    <row r="25" spans="1:8">
      <c r="A25" s="9">
        <v>6940</v>
      </c>
      <c r="B25" s="18" t="s">
        <v>22</v>
      </c>
      <c r="C25" s="18"/>
      <c r="D25" s="46">
        <v>4500</v>
      </c>
      <c r="E25" s="18"/>
      <c r="F25" s="19">
        <f>SUMIF([1]Bilag!$M$1:$M$163,"6940",[1]Bilag!$K$1:$K$163)</f>
        <v>4500</v>
      </c>
      <c r="G25" s="19"/>
      <c r="H25" s="19">
        <v>4500</v>
      </c>
    </row>
    <row r="26" spans="1:8">
      <c r="A26" s="9">
        <v>6990</v>
      </c>
      <c r="B26" s="45" t="s">
        <v>23</v>
      </c>
      <c r="C26" s="18"/>
      <c r="D26" s="44">
        <v>5000</v>
      </c>
      <c r="E26" s="18"/>
      <c r="F26" s="19">
        <f>SUMIF([1]Bilag!$M$1:$M$163,"6990",[1]Bilag!$K$1:$K$163)</f>
        <v>0</v>
      </c>
      <c r="G26" s="19"/>
      <c r="H26" s="19">
        <v>5000</v>
      </c>
    </row>
    <row r="27" spans="1:8">
      <c r="A27" s="9">
        <v>7100</v>
      </c>
      <c r="B27" s="45" t="s">
        <v>24</v>
      </c>
      <c r="C27" s="18"/>
      <c r="D27" s="44">
        <v>30000</v>
      </c>
      <c r="E27" s="18"/>
      <c r="F27" s="19">
        <f>SUMIF([1]Bilag!$M$1:$M$159,7100,[1]Bilag!$K$1:$K$159)-SUMIF([1]Bilag!$M$1:$M$159,7165,[1]Bilag!$L$1:$L$159)</f>
        <v>16216.06</v>
      </c>
      <c r="G27" s="19"/>
      <c r="H27" s="19">
        <v>30000</v>
      </c>
    </row>
    <row r="28" spans="1:8">
      <c r="A28" s="9">
        <v>7140</v>
      </c>
      <c r="B28" s="45" t="s">
        <v>25</v>
      </c>
      <c r="C28" s="18"/>
      <c r="D28" s="44">
        <v>1500</v>
      </c>
      <c r="E28" s="18"/>
      <c r="F28" s="19">
        <f>SUMIF([1]Bilag!$M$1:$M$159,7140,[1]Bilag!$K$1:$K$159)-SUMIF([1]Bilag!$M$1:$M$159,7140,[1]Bilag!$L$1:$L$159)</f>
        <v>220</v>
      </c>
      <c r="G28" s="19"/>
      <c r="H28" s="19">
        <v>1500</v>
      </c>
    </row>
    <row r="29" spans="1:8">
      <c r="A29" s="9">
        <v>7400</v>
      </c>
      <c r="B29" s="45" t="s">
        <v>26</v>
      </c>
      <c r="C29" s="18"/>
      <c r="D29" s="46">
        <v>5000</v>
      </c>
      <c r="E29" s="18"/>
      <c r="F29" s="19">
        <f>SUMIF([1]Bilag!$M$1:$M$159,"7400",[1]Bilag!$K$1:$K$159)-SUMIF([1]Bilag!$M$1:$M$159,"7400",[1]Bilag!$L$1:$L$159)</f>
        <v>2650</v>
      </c>
      <c r="G29" s="19"/>
      <c r="H29" s="19">
        <v>0</v>
      </c>
    </row>
    <row r="30" spans="1:8">
      <c r="A30" s="9">
        <v>7420</v>
      </c>
      <c r="B30" s="45" t="s">
        <v>27</v>
      </c>
      <c r="C30" s="18"/>
      <c r="D30" s="46">
        <v>10000</v>
      </c>
      <c r="E30" s="18"/>
      <c r="F30" s="19">
        <f>SUMIF([1]Bilag!$M$1:$M$163,"7420",[1]Bilag!$K$1:$K$163)</f>
        <v>8600</v>
      </c>
      <c r="G30" s="19"/>
      <c r="H30" s="19">
        <v>0</v>
      </c>
    </row>
    <row r="31" spans="1:8">
      <c r="A31" s="9">
        <v>7430</v>
      </c>
      <c r="B31" s="45" t="s">
        <v>28</v>
      </c>
      <c r="C31" s="18"/>
      <c r="D31" s="44"/>
      <c r="E31" s="18"/>
      <c r="F31" s="19">
        <f>SUMIF([1]Bilag!$M$1:$M$163,"7430",[1]Bilag!$K$1:$K$163)</f>
        <v>0</v>
      </c>
      <c r="G31" s="19"/>
      <c r="H31" s="19">
        <v>5000</v>
      </c>
    </row>
    <row r="32" spans="1:8">
      <c r="A32" s="9">
        <v>7770</v>
      </c>
      <c r="B32" s="18" t="s">
        <v>29</v>
      </c>
      <c r="C32" s="18"/>
      <c r="D32" s="44">
        <v>100</v>
      </c>
      <c r="E32" s="18"/>
      <c r="F32" s="19">
        <f>SUMIF([1]Bilag!$M$1:$M$163,7770,[1]Bilag!$K$1:$K$163)</f>
        <v>158.80000000000001</v>
      </c>
      <c r="G32" s="19"/>
      <c r="H32" s="19">
        <v>600</v>
      </c>
    </row>
    <row r="33" spans="1:8">
      <c r="A33" s="9">
        <v>7790</v>
      </c>
      <c r="B33" s="45" t="s">
        <v>30</v>
      </c>
      <c r="C33" s="18"/>
      <c r="D33" s="44">
        <v>3000</v>
      </c>
      <c r="E33" s="18"/>
      <c r="F33" s="19">
        <f>SUMIF([1]Bilag!$M$1:$M$163,7790,[1]Bilag!$K$1:$K$163)</f>
        <v>3454.64</v>
      </c>
      <c r="G33" s="19"/>
      <c r="H33" s="19">
        <v>4000</v>
      </c>
    </row>
    <row r="34" spans="1:8">
      <c r="A34" s="9">
        <v>8800</v>
      </c>
      <c r="B34" s="45" t="s">
        <v>31</v>
      </c>
      <c r="C34" s="18"/>
      <c r="D34" s="47">
        <f>IF(SUM(D7:D12)&gt;SUM(D21:D33),SUM(D7:D12)-SUM(D21:D33),0)</f>
        <v>1600</v>
      </c>
      <c r="E34" s="47">
        <f>IF(SUM(E7:E12)&gt;SUM(E21:E33),SUM(E7:E12)-SUM(E21:E33),0)</f>
        <v>0</v>
      </c>
      <c r="F34" s="48">
        <f>IF(SUM(F7:F12)&gt;SUM(F21:F33),SUM(F7:F12)-SUM(F21:F33),0)</f>
        <v>36946.459999999992</v>
      </c>
      <c r="G34" s="47">
        <f>IF(SUM(G7:G12)&gt;SUM(G21:G33),SUM(G7:G12)-SUM(G21:G33),0)</f>
        <v>0</v>
      </c>
      <c r="H34" s="48">
        <f>IF(SUM(H7:H12)&gt;SUM(H21:H33),SUM(H7:H12)-SUM(H21:H33),0)</f>
        <v>11670</v>
      </c>
    </row>
    <row r="35" spans="1:8">
      <c r="A35" s="9"/>
      <c r="D35" s="49"/>
      <c r="E35" s="5"/>
      <c r="F35" s="49"/>
      <c r="G35" s="5"/>
      <c r="H35" s="50"/>
    </row>
    <row r="36" spans="1:8" ht="15" thickBot="1">
      <c r="A36" s="9"/>
      <c r="B36" s="33" t="s">
        <v>32</v>
      </c>
      <c r="C36" s="33"/>
      <c r="D36" s="34">
        <f>SUM(D21:D35)</f>
        <v>95200</v>
      </c>
      <c r="E36" s="35"/>
      <c r="F36" s="36">
        <f>SUM(F21:F34)</f>
        <v>105746.86</v>
      </c>
      <c r="G36" s="37"/>
      <c r="H36" s="51">
        <f>SUM(H21:H34)</f>
        <v>96070</v>
      </c>
    </row>
    <row r="37" spans="1:8" ht="15" thickTop="1">
      <c r="A37" s="9"/>
      <c r="B37" s="18"/>
      <c r="C37" s="18"/>
      <c r="D37" s="19"/>
      <c r="E37" s="18"/>
      <c r="F37" s="19"/>
      <c r="G37" s="19"/>
      <c r="H37" s="39"/>
    </row>
    <row r="38" spans="1:8">
      <c r="A38" s="9"/>
      <c r="B38" s="18"/>
      <c r="C38" s="18"/>
      <c r="D38" s="19"/>
      <c r="E38" s="18"/>
      <c r="F38" s="19"/>
      <c r="G38" s="19"/>
      <c r="H38" s="39"/>
    </row>
    <row r="39" spans="1:8">
      <c r="A39" s="9"/>
      <c r="B39" s="18"/>
      <c r="C39" s="18"/>
      <c r="D39" s="19"/>
      <c r="E39" s="18"/>
      <c r="F39" s="19"/>
      <c r="G39" s="19"/>
      <c r="H39" s="39"/>
    </row>
    <row r="40" spans="1:8" ht="18">
      <c r="A40" s="9"/>
      <c r="B40" s="17" t="s">
        <v>33</v>
      </c>
      <c r="C40" s="18"/>
      <c r="D40" s="19"/>
      <c r="E40" s="18"/>
      <c r="F40" s="19"/>
      <c r="G40" s="19"/>
      <c r="H40" s="39"/>
    </row>
    <row r="41" spans="1:8" ht="15.6">
      <c r="A41" s="20" t="s">
        <v>3</v>
      </c>
      <c r="B41" s="52" t="s">
        <v>34</v>
      </c>
      <c r="C41" s="18"/>
      <c r="D41" s="19"/>
      <c r="E41" s="18"/>
      <c r="F41" s="40" t="str">
        <f>+F6</f>
        <v>Regnskap 2020</v>
      </c>
      <c r="G41" s="24"/>
      <c r="H41" s="53" t="str">
        <f>+H20</f>
        <v>Budsjett 2021</v>
      </c>
    </row>
    <row r="42" spans="1:8">
      <c r="A42" s="42">
        <v>1810</v>
      </c>
      <c r="B42" s="54" t="s">
        <v>35</v>
      </c>
      <c r="C42" s="54"/>
      <c r="D42" s="55">
        <v>0</v>
      </c>
      <c r="E42" s="54"/>
      <c r="F42" s="19">
        <f>SUM([1]Bilag!D161)</f>
        <v>0</v>
      </c>
      <c r="G42" s="56"/>
      <c r="H42" s="57"/>
    </row>
    <row r="43" spans="1:8">
      <c r="A43" s="9">
        <v>1910</v>
      </c>
      <c r="B43" s="18" t="s">
        <v>36</v>
      </c>
      <c r="C43" s="18"/>
      <c r="D43" s="19">
        <v>0</v>
      </c>
      <c r="E43" s="18"/>
      <c r="F43" s="19"/>
      <c r="G43" s="19"/>
      <c r="H43" s="46"/>
    </row>
    <row r="44" spans="1:8">
      <c r="A44" s="9"/>
      <c r="B44" s="18"/>
      <c r="C44" s="18"/>
      <c r="D44" s="19"/>
      <c r="E44" s="18"/>
      <c r="F44" s="19"/>
      <c r="G44" s="19"/>
      <c r="H44" s="44"/>
    </row>
    <row r="45" spans="1:8">
      <c r="A45" s="9"/>
      <c r="B45" s="58" t="s">
        <v>37</v>
      </c>
      <c r="C45" s="18"/>
      <c r="D45" s="19"/>
      <c r="E45" s="18"/>
      <c r="F45" s="19"/>
      <c r="G45" s="19"/>
      <c r="H45" s="44"/>
    </row>
    <row r="46" spans="1:8">
      <c r="A46" s="9">
        <v>1920</v>
      </c>
      <c r="B46" s="18" t="s">
        <v>38</v>
      </c>
      <c r="C46" s="18"/>
      <c r="D46" s="19"/>
      <c r="E46" s="18"/>
      <c r="F46" s="28">
        <v>114300.01</v>
      </c>
      <c r="G46" s="59"/>
      <c r="H46" s="60">
        <f>+H34+F46</f>
        <v>125970.01</v>
      </c>
    </row>
    <row r="47" spans="1:8">
      <c r="A47" s="9">
        <v>1930</v>
      </c>
      <c r="B47" s="18" t="s">
        <v>39</v>
      </c>
      <c r="C47" s="18"/>
      <c r="D47" s="19"/>
      <c r="E47" s="18"/>
      <c r="F47" s="28">
        <v>165096.20000000001</v>
      </c>
      <c r="G47" s="61"/>
      <c r="H47" s="44">
        <v>165096.20000000001</v>
      </c>
    </row>
    <row r="48" spans="1:8">
      <c r="A48" s="9"/>
      <c r="B48" s="18"/>
      <c r="C48" s="18"/>
      <c r="D48" s="19"/>
      <c r="E48" s="18"/>
      <c r="F48" s="28"/>
      <c r="G48" s="59"/>
      <c r="H48" s="44"/>
    </row>
    <row r="49" spans="1:8">
      <c r="A49" s="9"/>
      <c r="B49" s="18"/>
      <c r="C49" s="18"/>
      <c r="D49" s="19"/>
      <c r="E49" s="18"/>
      <c r="F49" s="28"/>
      <c r="G49" s="59"/>
      <c r="H49" s="44"/>
    </row>
    <row r="50" spans="1:8" ht="15" thickBot="1">
      <c r="A50" s="9"/>
      <c r="B50" s="33" t="s">
        <v>40</v>
      </c>
      <c r="C50" s="62"/>
      <c r="D50" s="63">
        <f>SUM(D46:D49)</f>
        <v>0</v>
      </c>
      <c r="E50" s="18"/>
      <c r="F50" s="64">
        <f>SUM(F43:F48)</f>
        <v>279396.21000000002</v>
      </c>
      <c r="G50" s="64">
        <f t="shared" ref="G50:H50" si="1">SUM(G43:G48)</f>
        <v>0</v>
      </c>
      <c r="H50" s="64">
        <f t="shared" si="1"/>
        <v>291066.21000000002</v>
      </c>
    </row>
    <row r="51" spans="1:8" ht="15" thickTop="1">
      <c r="A51" s="6"/>
      <c r="B51" s="18"/>
      <c r="C51" s="18"/>
      <c r="D51" s="19"/>
      <c r="E51" s="18"/>
      <c r="F51" s="59"/>
      <c r="G51" s="59"/>
      <c r="H51" s="39"/>
    </row>
    <row r="52" spans="1:8">
      <c r="A52" s="6"/>
      <c r="B52" s="18"/>
      <c r="C52" s="18"/>
      <c r="D52" s="19"/>
      <c r="E52" s="18"/>
      <c r="F52" s="18"/>
      <c r="G52" s="18"/>
      <c r="H52" s="39"/>
    </row>
    <row r="53" spans="1:8">
      <c r="A53" s="6"/>
      <c r="B53" s="18"/>
      <c r="C53" s="18"/>
      <c r="D53" s="19"/>
      <c r="E53" s="18"/>
      <c r="F53" s="18"/>
      <c r="G53" s="18"/>
      <c r="H53" s="39"/>
    </row>
    <row r="54" spans="1:8">
      <c r="A54" s="6"/>
      <c r="B54" s="18"/>
      <c r="C54" s="18"/>
      <c r="D54" s="19"/>
      <c r="E54" s="18"/>
      <c r="F54" s="18"/>
      <c r="G54" s="18"/>
      <c r="H54" s="39"/>
    </row>
    <row r="55" spans="1:8">
      <c r="A55" s="6"/>
      <c r="B55" s="18"/>
      <c r="C55" s="18"/>
      <c r="D55" s="19"/>
      <c r="E55" s="18"/>
      <c r="F55" s="18"/>
      <c r="G55" s="18"/>
      <c r="H55" s="39"/>
    </row>
    <row r="56" spans="1:8">
      <c r="A56" s="6"/>
      <c r="B56" s="18"/>
      <c r="C56" s="18"/>
      <c r="D56" s="19"/>
      <c r="E56" s="18"/>
      <c r="F56" s="18"/>
      <c r="G56" s="18"/>
      <c r="H56" s="39"/>
    </row>
    <row r="57" spans="1:8">
      <c r="A57" s="6"/>
      <c r="B57" s="18"/>
      <c r="C57" s="18"/>
      <c r="D57" s="19"/>
      <c r="E57" s="18"/>
      <c r="F57" s="18"/>
      <c r="G57" s="18"/>
      <c r="H57" s="39"/>
    </row>
    <row r="58" spans="1:8">
      <c r="A58" s="6"/>
      <c r="B58" s="18"/>
      <c r="C58" s="18"/>
      <c r="D58" s="19"/>
      <c r="E58" s="18"/>
      <c r="F58" s="18"/>
      <c r="G58" s="18"/>
      <c r="H58" s="39"/>
    </row>
    <row r="59" spans="1:8" ht="15.6">
      <c r="A59" s="20" t="s">
        <v>3</v>
      </c>
      <c r="B59" s="52" t="s">
        <v>41</v>
      </c>
      <c r="C59" s="18"/>
      <c r="D59" s="19"/>
      <c r="E59" s="18"/>
      <c r="F59" s="19"/>
      <c r="G59" s="19"/>
      <c r="H59" s="39"/>
    </row>
    <row r="60" spans="1:8">
      <c r="A60" s="20"/>
      <c r="B60" s="58"/>
      <c r="C60" s="18"/>
      <c r="D60" s="19"/>
      <c r="E60" s="18"/>
      <c r="F60" s="40" t="str">
        <f>+F6</f>
        <v>Regnskap 2020</v>
      </c>
      <c r="G60" s="24"/>
      <c r="H60" s="41" t="str">
        <f>+H6</f>
        <v>Budsjett 2021</v>
      </c>
    </row>
    <row r="61" spans="1:8">
      <c r="A61" s="9">
        <v>2050</v>
      </c>
      <c r="B61" s="18" t="s">
        <v>42</v>
      </c>
      <c r="C61" s="18"/>
      <c r="D61" s="19"/>
      <c r="E61" s="18"/>
      <c r="F61" s="28">
        <v>77449.75</v>
      </c>
      <c r="G61" s="59"/>
      <c r="H61" s="65">
        <v>114396.21</v>
      </c>
    </row>
    <row r="62" spans="1:8">
      <c r="A62" s="9"/>
      <c r="B62" s="18" t="str">
        <f>IF(F62&lt;0, " - årets resultat……………………………………...……….","+ årets resultat………………………………………………..")</f>
        <v>+ årets resultat………………………………………………..</v>
      </c>
      <c r="C62" s="18"/>
      <c r="D62" s="19"/>
      <c r="E62" s="18"/>
      <c r="F62" s="66">
        <f>IF(F34&lt;&gt;0,F34,-F13)</f>
        <v>36946.459999999992</v>
      </c>
      <c r="G62" s="59"/>
      <c r="H62" s="67">
        <v>12270</v>
      </c>
    </row>
    <row r="63" spans="1:8">
      <c r="A63" s="9"/>
      <c r="B63" s="45" t="s">
        <v>43</v>
      </c>
      <c r="C63" s="18"/>
      <c r="D63" s="19"/>
      <c r="E63" s="18"/>
      <c r="F63" s="28">
        <v>165000</v>
      </c>
      <c r="G63" s="59"/>
      <c r="H63" s="68">
        <v>165000</v>
      </c>
    </row>
    <row r="64" spans="1:8">
      <c r="A64" s="9"/>
      <c r="B64" s="18" t="s">
        <v>44</v>
      </c>
      <c r="C64" s="18"/>
      <c r="D64" s="19"/>
      <c r="E64" s="18"/>
      <c r="F64" s="69">
        <f>SUM(F61:F62)</f>
        <v>114396.20999999999</v>
      </c>
      <c r="G64" s="69">
        <f t="shared" ref="G64:H64" si="2">SUM(G61:G62)</f>
        <v>0</v>
      </c>
      <c r="H64" s="69">
        <f t="shared" si="2"/>
        <v>126666.21</v>
      </c>
    </row>
    <row r="65" spans="1:8">
      <c r="A65" s="9"/>
      <c r="B65" s="18"/>
      <c r="C65" s="18"/>
      <c r="D65" s="19"/>
      <c r="E65" s="18"/>
      <c r="F65" s="28"/>
      <c r="G65" s="59"/>
      <c r="H65" s="68">
        <v>0</v>
      </c>
    </row>
    <row r="66" spans="1:8" ht="15" thickBot="1">
      <c r="A66" s="9"/>
      <c r="B66" s="70" t="s">
        <v>45</v>
      </c>
      <c r="C66" s="71"/>
      <c r="D66" s="63">
        <f>SUM(D64:D65)</f>
        <v>0</v>
      </c>
      <c r="E66" s="72"/>
      <c r="F66" s="73">
        <f>SUM(F61:F63)</f>
        <v>279396.20999999996</v>
      </c>
      <c r="G66" s="73">
        <f t="shared" ref="G66:H66" si="3">SUM(G61:G63)</f>
        <v>0</v>
      </c>
      <c r="H66" s="73">
        <f t="shared" si="3"/>
        <v>291666.21000000002</v>
      </c>
    </row>
    <row r="67" spans="1:8" ht="15" thickTop="1"/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PC3</cp:lastModifiedBy>
  <dcterms:created xsi:type="dcterms:W3CDTF">2021-03-31T15:46:26Z</dcterms:created>
  <dcterms:modified xsi:type="dcterms:W3CDTF">2021-03-31T16:18:12Z</dcterms:modified>
</cp:coreProperties>
</file>